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\TRABAJO\CONTRATOS 2023\INFORMES MENSUALES\TRANSPARENCIA\4 ABRIL\"/>
    </mc:Choice>
  </mc:AlternateContent>
  <xr:revisionPtr revIDLastSave="0" documentId="13_ncr:1_{5639AC4E-EED0-4C8D-A2B9-3CE93CB41817}" xr6:coauthVersionLast="36" xr6:coauthVersionMax="36" xr10:uidLastSave="{00000000-0000-0000-0000-000000000000}"/>
  <bookViews>
    <workbookView xWindow="0" yWindow="0" windowWidth="28800" windowHeight="11925" xr2:uid="{A697EFEB-914B-479A-A522-1553A9770B40}"/>
  </bookViews>
  <sheets>
    <sheet name="Transparencia" sheetId="1" r:id="rId1"/>
  </sheets>
  <externalReferences>
    <externalReference r:id="rId2"/>
  </externalReferences>
  <definedNames>
    <definedName name="CAUCA">[1]INFO!$N$30:$N$37</definedName>
    <definedName name="CODIGO_ERON">[1]INFO!$D$30:$D$1048576</definedName>
    <definedName name="DEPARTAMENTO">[1]INFO!$L$30:$L$33</definedName>
    <definedName name="ESTADO">[1]INFO!$J$30:$J$37</definedName>
    <definedName name="LIQUIDADO">[1]INFO!$K$30:$K$32</definedName>
    <definedName name="MES">[1]INFO!$C$30:$C$41</definedName>
    <definedName name="MODALIDAD">[1]INFO!$F$30:$F$39</definedName>
    <definedName name="NARIÑO">[1]INFO!$O$30:$O$35</definedName>
    <definedName name="ORIGEN">[1]INFO!$H$30:$H$32</definedName>
    <definedName name="TIPO_CONTRATO">[1]INFO!$G$30:$G$41</definedName>
    <definedName name="TIPO_IDENTIDAD">[1]INFO!$E$30:$E$34</definedName>
    <definedName name="VALLE">[1]INFO!$M$30:$M$40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  <c r="B69" i="1"/>
  <c r="R68" i="1"/>
  <c r="R67" i="1"/>
  <c r="R66" i="1"/>
  <c r="R65" i="1"/>
  <c r="R64" i="1"/>
  <c r="R62" i="1"/>
  <c r="R56" i="1"/>
  <c r="R55" i="1"/>
  <c r="R54" i="1"/>
  <c r="R53" i="1"/>
  <c r="R52" i="1"/>
  <c r="R50" i="1"/>
  <c r="R43" i="1"/>
  <c r="R38" i="1"/>
  <c r="R37" i="1"/>
  <c r="R36" i="1"/>
  <c r="R35" i="1"/>
  <c r="R31" i="1"/>
  <c r="R30" i="1"/>
  <c r="R29" i="1"/>
  <c r="R28" i="1"/>
  <c r="R27" i="1"/>
  <c r="R26" i="1"/>
  <c r="R25" i="1"/>
  <c r="R24" i="1"/>
  <c r="R23" i="1"/>
  <c r="R22" i="1"/>
  <c r="R15" i="1"/>
  <c r="R14" i="1"/>
  <c r="R13" i="1"/>
  <c r="R12" i="1"/>
  <c r="R11" i="1"/>
  <c r="R10" i="1"/>
  <c r="R9" i="1"/>
  <c r="R3" i="1"/>
  <c r="R2" i="1"/>
  <c r="S70" i="1"/>
  <c r="S69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5" i="1"/>
  <c r="S24" i="1"/>
  <c r="S23" i="1"/>
  <c r="S22" i="1"/>
  <c r="S21" i="1"/>
  <c r="S20" i="1"/>
  <c r="S19" i="1"/>
  <c r="S18" i="1"/>
  <c r="S17" i="1"/>
  <c r="S16" i="1"/>
  <c r="S8" i="1"/>
  <c r="S7" i="1"/>
  <c r="S6" i="1"/>
  <c r="S5" i="1"/>
  <c r="S4" i="1"/>
  <c r="S3" i="1"/>
  <c r="S2" i="1"/>
  <c r="R70" i="1"/>
  <c r="R69" i="1"/>
  <c r="R63" i="1"/>
  <c r="R61" i="1"/>
  <c r="R60" i="1"/>
  <c r="R59" i="1"/>
  <c r="R58" i="1"/>
  <c r="R57" i="1"/>
  <c r="R51" i="1"/>
  <c r="R42" i="1"/>
  <c r="R41" i="1"/>
  <c r="R40" i="1"/>
  <c r="R39" i="1"/>
  <c r="R34" i="1"/>
  <c r="R33" i="1"/>
  <c r="R32" i="1"/>
  <c r="R21" i="1"/>
  <c r="R20" i="1"/>
  <c r="R19" i="1"/>
  <c r="R18" i="1"/>
  <c r="R17" i="1"/>
  <c r="R16" i="1"/>
  <c r="R8" i="1"/>
  <c r="R6" i="1"/>
  <c r="R5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P67" i="1"/>
  <c r="P66" i="1"/>
  <c r="P65" i="1"/>
  <c r="P64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7" i="1"/>
  <c r="P5" i="1"/>
  <c r="P4" i="1"/>
  <c r="P3" i="1"/>
  <c r="P2" i="1"/>
  <c r="N11" i="1"/>
  <c r="N10" i="1"/>
  <c r="D14" i="1"/>
  <c r="A2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9" i="1"/>
  <c r="N8" i="1"/>
  <c r="N7" i="1"/>
  <c r="N6" i="1"/>
  <c r="N5" i="1"/>
  <c r="N4" i="1"/>
  <c r="N3" i="1"/>
  <c r="N2" i="1"/>
  <c r="M70" i="1"/>
  <c r="M69" i="1"/>
  <c r="M68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K49" i="1"/>
  <c r="K44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8" i="1"/>
  <c r="K47" i="1"/>
  <c r="K46" i="1"/>
  <c r="K45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I17" i="1"/>
  <c r="I18" i="1"/>
  <c r="G2" i="1"/>
  <c r="I2" i="1" s="1"/>
  <c r="G3" i="1"/>
  <c r="I3" i="1" s="1"/>
  <c r="G4" i="1"/>
  <c r="I4" i="1" s="1"/>
  <c r="G5" i="1"/>
  <c r="I5" i="1" s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3" i="1"/>
  <c r="D12" i="1"/>
  <c r="D11" i="1"/>
  <c r="D10" i="1"/>
  <c r="D9" i="1"/>
  <c r="D8" i="1"/>
  <c r="D7" i="1"/>
  <c r="D6" i="1"/>
  <c r="D5" i="1"/>
  <c r="D4" i="1"/>
  <c r="D3" i="1"/>
  <c r="D2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8" i="1"/>
  <c r="C7" i="1"/>
  <c r="C6" i="1"/>
  <c r="C5" i="1"/>
  <c r="C4" i="1"/>
  <c r="C3" i="1"/>
  <c r="C2" i="1"/>
  <c r="B67" i="1"/>
  <c r="B66" i="1"/>
  <c r="B65" i="1"/>
  <c r="B64" i="1"/>
  <c r="B56" i="1"/>
  <c r="B55" i="1"/>
  <c r="B54" i="1"/>
  <c r="B53" i="1"/>
  <c r="B52" i="1"/>
  <c r="B50" i="1"/>
  <c r="B43" i="1"/>
  <c r="B31" i="1"/>
  <c r="B30" i="1"/>
  <c r="B29" i="1"/>
  <c r="B28" i="1"/>
  <c r="B27" i="1"/>
  <c r="B26" i="1"/>
  <c r="B25" i="1"/>
  <c r="B24" i="1"/>
  <c r="B23" i="1"/>
  <c r="B22" i="1"/>
  <c r="B15" i="1"/>
  <c r="B14" i="1"/>
  <c r="B13" i="1"/>
  <c r="B12" i="1"/>
  <c r="B11" i="1"/>
  <c r="B10" i="1"/>
  <c r="B9" i="1"/>
  <c r="B3" i="1"/>
  <c r="B2" i="1"/>
  <c r="B68" i="1"/>
  <c r="B62" i="1"/>
  <c r="B61" i="1"/>
  <c r="B60" i="1"/>
  <c r="B59" i="1"/>
  <c r="B58" i="1"/>
  <c r="B57" i="1"/>
  <c r="B51" i="1"/>
  <c r="B49" i="1"/>
  <c r="R49" i="1" s="1"/>
  <c r="B48" i="1"/>
  <c r="R48" i="1" s="1"/>
  <c r="B47" i="1"/>
  <c r="R47" i="1" s="1"/>
  <c r="B46" i="1"/>
  <c r="R46" i="1" s="1"/>
  <c r="B45" i="1"/>
  <c r="R45" i="1" s="1"/>
  <c r="B44" i="1"/>
  <c r="R44" i="1" s="1"/>
  <c r="B42" i="1"/>
  <c r="B41" i="1"/>
  <c r="B40" i="1"/>
  <c r="B39" i="1"/>
  <c r="B38" i="1"/>
  <c r="B37" i="1"/>
  <c r="B36" i="1"/>
  <c r="B35" i="1"/>
  <c r="B34" i="1"/>
  <c r="B33" i="1"/>
  <c r="B32" i="1"/>
  <c r="B21" i="1"/>
  <c r="B20" i="1"/>
  <c r="B19" i="1"/>
  <c r="B18" i="1"/>
  <c r="B17" i="1"/>
  <c r="B16" i="1"/>
  <c r="B8" i="1"/>
  <c r="B7" i="1"/>
  <c r="B6" i="1"/>
  <c r="B5" i="1"/>
  <c r="B4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<sst xmlns="http://schemas.openxmlformats.org/spreadsheetml/2006/main" count="251" uniqueCount="87">
  <si>
    <t>N/A</t>
  </si>
  <si>
    <t>contacto@enruta.com.co</t>
  </si>
  <si>
    <t>info@papeleriavegas.com</t>
  </si>
  <si>
    <t>erika.rodriguez@panamericana.com.co</t>
  </si>
  <si>
    <t>GRANDES SUPERFICIES</t>
  </si>
  <si>
    <t>erica.perez@inpec.gov.co</t>
  </si>
  <si>
    <t>directora.comercial@polyflex.com.co</t>
  </si>
  <si>
    <t>autozonadelcafe@hotmail.com</t>
  </si>
  <si>
    <t>autozonadelcafe@gmail.com</t>
  </si>
  <si>
    <t>lsalinas.nases@larecetta.com</t>
  </si>
  <si>
    <t>gobiernovirtual@panamericana.com.co</t>
  </si>
  <si>
    <t>agrovalledelcauca@gmail.com.co</t>
  </si>
  <si>
    <t>licitaciones3@impocauca.co</t>
  </si>
  <si>
    <t>calos.ibarra@cyresdecolombia.com</t>
  </si>
  <si>
    <t>licitaciones2ferricentro.com</t>
  </si>
  <si>
    <t>idcastaneda@larecetta.com</t>
  </si>
  <si>
    <t>licitaciones@gruposugasas.com</t>
  </si>
  <si>
    <t>soltecvm@gmail.com</t>
  </si>
  <si>
    <t>NATY,PAVA@MERCAPAVA.COM.CO</t>
  </si>
  <si>
    <t>tallergonzalezpopayan@hotmail.com</t>
  </si>
  <si>
    <t>universotecnologicocolombia@gmail.com</t>
  </si>
  <si>
    <t>gilberto.ortiz@suprisa.com.co</t>
  </si>
  <si>
    <t>agroplasticosoccidente@gmail.com</t>
  </si>
  <si>
    <t>suministrosmaybe.1@gmail.com</t>
  </si>
  <si>
    <t>facturacion@copirent.com</t>
  </si>
  <si>
    <t>contratos@generacionmotors.com</t>
  </si>
  <si>
    <t>gmogaviria@hotmail.com</t>
  </si>
  <si>
    <t>insurmed2@gmail.com</t>
  </si>
  <si>
    <t>tvec@proveer.com.co</t>
  </si>
  <si>
    <t>contabilidad@centroagropecuario.com.co</t>
  </si>
  <si>
    <t>fumservices@gmail.com</t>
  </si>
  <si>
    <t>equilibriumproyectos@gmail.com</t>
  </si>
  <si>
    <t>mazuserviciosintegrales@gmail.com</t>
  </si>
  <si>
    <t>contabilidadtigre@gmail.com</t>
  </si>
  <si>
    <t>11999472</t>
  </si>
  <si>
    <t>95477807</t>
  </si>
  <si>
    <t>servifrenosgalindez@gmail.com</t>
  </si>
  <si>
    <t>MC204-006-2023</t>
  </si>
  <si>
    <t>contabilidad-co@edenred.com</t>
  </si>
  <si>
    <t>jaimepfx@hotmail.com</t>
  </si>
  <si>
    <t>licitacionesoxi@hotmail.com</t>
  </si>
  <si>
    <t>notificacion@montagas.com</t>
  </si>
  <si>
    <t>jaimepfx@hotmail.co</t>
  </si>
  <si>
    <t>tyremarketsas@gmail.com</t>
  </si>
  <si>
    <t>previsoracolombiacompra@gmail.com</t>
  </si>
  <si>
    <t>comercialinternegocios@gmail.com</t>
  </si>
  <si>
    <t>20. Observación</t>
  </si>
  <si>
    <t>19. Link del proceso</t>
  </si>
  <si>
    <t>18. Número de proceso en el SECOP II</t>
  </si>
  <si>
    <t>17. Origen de los Recursos (Recursos Propios o Presupuesto de Entidad Nacional)</t>
  </si>
  <si>
    <t>16. Recurso</t>
  </si>
  <si>
    <t>15. Correo electronico del Contratista</t>
  </si>
  <si>
    <t>14. Rubro</t>
  </si>
  <si>
    <t>13. Fecha terminación del contrato</t>
  </si>
  <si>
    <t>12. Prorrogas</t>
  </si>
  <si>
    <t>11. Fecha de inicio del contrato</t>
  </si>
  <si>
    <t>10. Fecha de suscripción del contrato</t>
  </si>
  <si>
    <t>9. Cuantía total del contrato</t>
  </si>
  <si>
    <t>8. Adiciones</t>
  </si>
  <si>
    <t>7. Cuantía inicial del contrato</t>
  </si>
  <si>
    <t>6. Objeto</t>
  </si>
  <si>
    <t>5. Nombre completo contratista</t>
  </si>
  <si>
    <t>4. Tipo del contrato</t>
  </si>
  <si>
    <t>3. Modalidad contratación</t>
  </si>
  <si>
    <t>2. Número del contrato</t>
  </si>
  <si>
    <t>1. Nombre de la Sede (Dirección General, Dirección Regional xxx, Establecimiento de Reclusión o Escuela de Formación)</t>
  </si>
  <si>
    <t>CMC 001-2023</t>
  </si>
  <si>
    <t>vectorsfumigaciones@gmail.com</t>
  </si>
  <si>
    <t>NACIÓN</t>
  </si>
  <si>
    <t>id.CO1.BDOS.4310950</t>
  </si>
  <si>
    <t>https://www.colombiacompra.gov.co/tienda-virtual-del-estado-colombiano/ordenes-compra/107893</t>
  </si>
  <si>
    <t>https://www.colombiacompra.gov.co/tienda-virtual-del-estado-colombiano/ordenes-compra/107182</t>
  </si>
  <si>
    <t>https://www.colombiacompra.gov.co/tienda-virtual-del-estado-colombiano/ordenes-compra/107724</t>
  </si>
  <si>
    <t>https://www.colombiacompra.gov.co/tienda-virtual-del-estado-colombiano/ordenes-compra/106437</t>
  </si>
  <si>
    <t>https://www.colombiacompra.gov.co/tienda-virtual-del-estado-colombiano/ordenes-compra/107071</t>
  </si>
  <si>
    <t>https://www.colombiacompra.gov.co/tienda-virtual-del-estado-colombiano/ordenes-compra/107463</t>
  </si>
  <si>
    <t>https://www.colombiacompra.gov.co/tienda-virtual-del-estado-colombiano/ordenes-compra/106363</t>
  </si>
  <si>
    <t>https://www.colombiacompra.gov.co/tienda-virtual-del-estado-colombiano/ordenes-compra/107914</t>
  </si>
  <si>
    <t>https://www.colombiacompra.gov.co/tienda-virtual-del-estado-colombiano/ordenes-compra/107929</t>
  </si>
  <si>
    <t>https://www.colombiacompra.gov.co/tienda-virtual-del-estado-colombiano/ordenes-compra/107939</t>
  </si>
  <si>
    <t>https://www.colombiacompra.gov.co/tienda-virtual-del-estado-colombiano/ordenes-compra/107942</t>
  </si>
  <si>
    <t>https://www.colombiacompra.gov.co/tienda-virtual-del-estado-colombiano/ordenes-compra/108191</t>
  </si>
  <si>
    <t>https://www.colombiacompra.gov.co/tienda-virtual-del-estado-colombiano/ordenes-compra/107480</t>
  </si>
  <si>
    <t>https://www.colombiacompra.gov.co/tienda-virtual-del-estado-colombiano/ordenes-compra/107661</t>
  </si>
  <si>
    <t>https://www.colombiacompra.gov.co/tienda-virtual-del-estado-colombiano/ordenes-compra/108221</t>
  </si>
  <si>
    <t>https://www.colombiacompra.gov.co/tienda-virtual-del-estado-colombiano/ordenes-compra/108555</t>
  </si>
  <si>
    <t>https://www.colombiacompra.gov.co/tienda-virtual-del-estado-colombiano/ordenes-compra/107379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</si>
</sst>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Oswald"/>
    </font>
    <font>
      <sz val="10"/>
      <color theme="1"/>
      <name val="Calibri"/>
      <family val="2"/>
      <scheme val="minor"/>
    </font>
    <font>
      <sz val="10"/>
      <color theme="1"/>
      <name val="Oswald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u/>
      <sz val="9"/>
      <color rgb="FF0000FF"/>
      <name val="Oswald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36C09"/>
        <bgColor rgb="FFE36C0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ont="1" applyAlignment="1"/>
    <xf numFmtId="164" fontId="1" fillId="0" borderId="0" xfId="0" applyNumberFormat="1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1" applyBorder="1" applyAlignment="1">
      <alignment horizontal="left"/>
    </xf>
  </cellXfs>
  <cellStyles count="2">
    <cellStyle name="Hipervínculo" xfId="1" builtinId="8"/>
    <cellStyle name="Normal" xfId="0" builtinId="0"/>
  </cellStyles>
  <dxfs count="23"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666666"/>
          <bgColor rgb="FF66666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theme="6"/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TRABAJO/CONTRATOS%202023/INFORMES%20MENSUALES/FORMATO%20UNIFICADO%20INFORME%20MENSUAL%20DE%20EJECUCI&#211;N%20CONTRACTUAL%202023%2003-05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ntratos"/>
      <sheetName val="Regionalizado"/>
      <sheetName val="Transparencia"/>
      <sheetName val="CONTROL"/>
      <sheetName val="CONSOLIDADO"/>
      <sheetName val="TD1"/>
      <sheetName val="200_REGIONAL"/>
      <sheetName val="206_PTO_TEJADA"/>
      <sheetName val="202_BOLIVAR"/>
      <sheetName val="207_SANTANDER"/>
      <sheetName val="204_BORDO"/>
      <sheetName val="215_PASTO"/>
      <sheetName val="208_SILVIA"/>
      <sheetName val="209_RMPOPAYAN"/>
      <sheetName val="217_IPIALES"/>
      <sheetName val="219_UNION"/>
      <sheetName val="221_TUQUERRES"/>
      <sheetName val="222_TUMACO"/>
      <sheetName val="225_PALMIRA"/>
      <sheetName val="227_BUGA"/>
      <sheetName val="226_CALI"/>
      <sheetName val="228_BVENTURA"/>
      <sheetName val="235_POPAYAN"/>
      <sheetName val="233_TULUA"/>
      <sheetName val="238_CARTAGO"/>
      <sheetName val="239_CAICEDONIA"/>
      <sheetName val="240_ROLDANILLO"/>
      <sheetName val="241_SEVILLA"/>
      <sheetName val="242_JAMUNDI"/>
    </sheetNames>
    <sheetDataSet>
      <sheetData sheetId="0">
        <row r="30">
          <cell r="C30" t="str">
            <v>01 ENERO</v>
          </cell>
          <cell r="D30" t="str">
            <v>200 REGIONAL OCCIDENTE</v>
          </cell>
          <cell r="E30" t="str">
            <v>CC</v>
          </cell>
          <cell r="F30" t="str">
            <v>ACUERDO MARCO DE PRECIOS</v>
          </cell>
          <cell r="G30" t="str">
            <v>PRESTACIÓN DE SERVICIOS</v>
          </cell>
          <cell r="H30" t="str">
            <v>NACION</v>
          </cell>
          <cell r="J30" t="str">
            <v>EN EJECUCIÓN</v>
          </cell>
          <cell r="K30" t="str">
            <v>SI</v>
          </cell>
          <cell r="L30" t="str">
            <v>VALLE</v>
          </cell>
          <cell r="M30" t="str">
            <v>CALI</v>
          </cell>
          <cell r="N30" t="str">
            <v>POPAYAN</v>
          </cell>
          <cell r="O30" t="str">
            <v>PASTO</v>
          </cell>
        </row>
        <row r="31">
          <cell r="C31" t="str">
            <v>02 FEBRERO</v>
          </cell>
          <cell r="D31" t="str">
            <v>202 BOLIVAR</v>
          </cell>
          <cell r="E31" t="str">
            <v>NIT</v>
          </cell>
          <cell r="F31" t="str">
            <v>INSTRUMENTOS AGREGACIÓN DE DEMANDA</v>
          </cell>
          <cell r="G31" t="str">
            <v>PRESTACIÓN DE SERVICIOS PROFESIONALES Y DE APOYO A LA GESTIÓN</v>
          </cell>
          <cell r="H31" t="str">
            <v>PROPIOS</v>
          </cell>
          <cell r="J31" t="str">
            <v>FINALIZADO</v>
          </cell>
          <cell r="K31" t="str">
            <v>NO</v>
          </cell>
          <cell r="L31" t="str">
            <v>CAUCA</v>
          </cell>
          <cell r="M31" t="str">
            <v>PALMIRA</v>
          </cell>
          <cell r="N31" t="str">
            <v>BOLIVAR</v>
          </cell>
          <cell r="O31" t="str">
            <v>IPIALES</v>
          </cell>
        </row>
        <row r="32">
          <cell r="C32" t="str">
            <v>03 MARZO</v>
          </cell>
          <cell r="D32" t="str">
            <v>204 EL BORDO</v>
          </cell>
          <cell r="E32" t="str">
            <v>RUT</v>
          </cell>
          <cell r="F32" t="str">
            <v>GRANDES SUPERFICIES</v>
          </cell>
          <cell r="G32" t="str">
            <v>INTERADMINISTRATIVO</v>
          </cell>
          <cell r="H32" t="str">
            <v>N/A</v>
          </cell>
          <cell r="J32" t="str">
            <v>LIQUIDADO</v>
          </cell>
          <cell r="K32" t="str">
            <v>N/A</v>
          </cell>
          <cell r="L32" t="str">
            <v>NARIÑO</v>
          </cell>
          <cell r="M32" t="str">
            <v>JAMUNDI</v>
          </cell>
          <cell r="N32" t="str">
            <v xml:space="preserve"> EL BORDO</v>
          </cell>
          <cell r="O32" t="str">
            <v>LA UNION</v>
          </cell>
        </row>
        <row r="33">
          <cell r="C33" t="str">
            <v>04 ABRIL</v>
          </cell>
          <cell r="D33" t="str">
            <v>206 PUERTO TEJADA</v>
          </cell>
          <cell r="E33" t="str">
            <v>CAMARA DE COMERCIO</v>
          </cell>
          <cell r="F33" t="str">
            <v>CONTRATACIÓN DIRECTA</v>
          </cell>
          <cell r="G33" t="str">
            <v>COOPERACIÓN</v>
          </cell>
          <cell r="J33" t="str">
            <v>CEDIDO</v>
          </cell>
          <cell r="L33" t="str">
            <v>N/A</v>
          </cell>
          <cell r="M33" t="str">
            <v>BUGA</v>
          </cell>
          <cell r="N33" t="str">
            <v>PUERTO TEJADA</v>
          </cell>
          <cell r="O33" t="str">
            <v>TUQUERRES</v>
          </cell>
        </row>
        <row r="34">
          <cell r="C34" t="str">
            <v>05 MAYO</v>
          </cell>
          <cell r="D34" t="str">
            <v>207 SANTANDER</v>
          </cell>
          <cell r="E34" t="str">
            <v>N/A</v>
          </cell>
          <cell r="F34" t="str">
            <v>LICITACIÓN PÚBLICA</v>
          </cell>
          <cell r="G34" t="str">
            <v>COLABORACIÓN</v>
          </cell>
          <cell r="J34" t="str">
            <v>TERMINADO/PENDIENTE POR LIQUIDAR</v>
          </cell>
          <cell r="M34" t="str">
            <v>BUENAVENTURA</v>
          </cell>
          <cell r="N34" t="str">
            <v>SANTANDER</v>
          </cell>
          <cell r="O34" t="str">
            <v>TUMACO</v>
          </cell>
        </row>
        <row r="35">
          <cell r="C35" t="str">
            <v>06 JUNIO</v>
          </cell>
          <cell r="D35" t="str">
            <v>208 SILVIA</v>
          </cell>
          <cell r="F35" t="str">
            <v>MÍNIMA CUANTÍA</v>
          </cell>
          <cell r="G35" t="str">
            <v>ASOCIACIÓN</v>
          </cell>
          <cell r="J35" t="str">
            <v>INCUMPLIMIENTO</v>
          </cell>
          <cell r="M35" t="str">
            <v>TULUA</v>
          </cell>
          <cell r="N35" t="str">
            <v>SILVIA</v>
          </cell>
          <cell r="O35" t="str">
            <v>N/A</v>
          </cell>
        </row>
        <row r="36">
          <cell r="C36" t="str">
            <v>07 JULIO</v>
          </cell>
          <cell r="D36" t="str">
            <v>209 RM POPAYAN</v>
          </cell>
          <cell r="F36" t="str">
            <v>SELECCIÓN ABREVIADA POR SUBASTA INVERSA</v>
          </cell>
          <cell r="G36" t="str">
            <v>SUMINISTRO</v>
          </cell>
          <cell r="J36" t="str">
            <v>RESERVA PRESUPUESTAL</v>
          </cell>
          <cell r="M36" t="str">
            <v>CARTAGO</v>
          </cell>
          <cell r="N36" t="str">
            <v>RM POPAYAN</v>
          </cell>
        </row>
        <row r="37">
          <cell r="C37" t="str">
            <v>08 AGOSTO</v>
          </cell>
          <cell r="D37" t="str">
            <v>215 PASTO</v>
          </cell>
          <cell r="F37" t="str">
            <v>SELECCIÓN ABREVIADA POR MENOR CUANTÍA</v>
          </cell>
          <cell r="G37" t="str">
            <v>COMPRAVENTA</v>
          </cell>
          <cell r="J37" t="str">
            <v>N/A</v>
          </cell>
          <cell r="M37" t="str">
            <v>CAICEDONIA</v>
          </cell>
          <cell r="N37" t="str">
            <v>N/A</v>
          </cell>
        </row>
        <row r="38">
          <cell r="C38" t="str">
            <v>09 SEPTIEMBRE</v>
          </cell>
          <cell r="D38" t="str">
            <v>217 IPIALES</v>
          </cell>
          <cell r="F38" t="str">
            <v>CONCURSO DE MÉRITOS</v>
          </cell>
          <cell r="G38" t="str">
            <v>ARRENDAMIENTO</v>
          </cell>
          <cell r="M38" t="str">
            <v>RONDANILLO</v>
          </cell>
        </row>
        <row r="39">
          <cell r="C39" t="str">
            <v>10 OCTUBRE</v>
          </cell>
          <cell r="D39" t="str">
            <v>219 LA UNION</v>
          </cell>
          <cell r="F39" t="str">
            <v>N/A</v>
          </cell>
          <cell r="G39" t="str">
            <v>MANTENIMIENTO</v>
          </cell>
          <cell r="M39" t="str">
            <v>SEVILLA</v>
          </cell>
        </row>
        <row r="40">
          <cell r="C40" t="str">
            <v>11 NOVIEMBRE</v>
          </cell>
          <cell r="D40" t="str">
            <v>221 TUQUERRES</v>
          </cell>
          <cell r="G40" t="str">
            <v>SEGUROS</v>
          </cell>
          <cell r="M40" t="str">
            <v>N/A</v>
          </cell>
        </row>
        <row r="41">
          <cell r="C41" t="str">
            <v>12 DICIEMBRE</v>
          </cell>
          <cell r="D41" t="str">
            <v>222 TUMACO</v>
          </cell>
          <cell r="G41" t="str">
            <v>N/A</v>
          </cell>
        </row>
        <row r="42">
          <cell r="D42" t="str">
            <v>225 PALMIRA</v>
          </cell>
        </row>
        <row r="43">
          <cell r="D43" t="str">
            <v>226 CALI</v>
          </cell>
        </row>
        <row r="44">
          <cell r="D44" t="str">
            <v>227 BUGA</v>
          </cell>
        </row>
        <row r="45">
          <cell r="D45" t="str">
            <v>228 BUENAVENTURA</v>
          </cell>
        </row>
        <row r="46">
          <cell r="D46" t="str">
            <v>233 TULUA</v>
          </cell>
        </row>
        <row r="47">
          <cell r="D47" t="str">
            <v>235 POPAYAN</v>
          </cell>
        </row>
        <row r="48">
          <cell r="D48" t="str">
            <v>238 CARTAGO</v>
          </cell>
        </row>
        <row r="49">
          <cell r="D49" t="str">
            <v>239 CAICEDONIA</v>
          </cell>
        </row>
        <row r="50">
          <cell r="D50" t="str">
            <v>240 RONDANILLO</v>
          </cell>
        </row>
        <row r="51">
          <cell r="D51" t="str">
            <v>241 SEVILLA</v>
          </cell>
        </row>
        <row r="52">
          <cell r="D52" t="str">
            <v>242 JAMUNDI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OpportunityDetail/Index?noticeUID=CO1.NTC.4241586&amp;isFromPublicArea=True&amp;isModal=False" TargetMode="External"/><Relationship Id="rId18" Type="http://schemas.openxmlformats.org/officeDocument/2006/relationships/hyperlink" Target="https://www.colombiacompra.gov.co/tienda-virtual-del-estado-colombiano/ordenes-compra/108217" TargetMode="External"/><Relationship Id="rId26" Type="http://schemas.openxmlformats.org/officeDocument/2006/relationships/hyperlink" Target="https://www.colombiacompra.gov.co/tienda-virtual-del-estado-colombiano/ordenes-compra/108418" TargetMode="External"/><Relationship Id="rId39" Type="http://schemas.openxmlformats.org/officeDocument/2006/relationships/hyperlink" Target="https://www.colombiacompra.gov.co/tienda-virtual-del-estado-colombiano/ordenes-compra/107558" TargetMode="External"/><Relationship Id="rId21" Type="http://schemas.openxmlformats.org/officeDocument/2006/relationships/hyperlink" Target="https://community.secop.gov.co/Public/Tendering/OpportunityDetail/Index?noticeUID=CO1.NTC.4240415&amp;isFromPublicArea=True&amp;isModal=False" TargetMode="External"/><Relationship Id="rId34" Type="http://schemas.openxmlformats.org/officeDocument/2006/relationships/hyperlink" Target="https://community.secop.gov.co/Public/Tendering/OpportunityDetail/Index?noticeUID=CO1.NTC.4180159&amp;isFromPublicArea=True&amp;isModal=False" TargetMode="External"/><Relationship Id="rId42" Type="http://schemas.openxmlformats.org/officeDocument/2006/relationships/hyperlink" Target="https://www.colombiacompra.gov.co/tienda-virtual-del-estado-colombiano/ordenes-compra/108654" TargetMode="External"/><Relationship Id="rId47" Type="http://schemas.openxmlformats.org/officeDocument/2006/relationships/hyperlink" Target="https://community.secop.gov.co/Public/Tendering/OpportunityDetail/Index?noticeUID=CO1.NTC.4286432&amp;isFromPublicArea=True&amp;isModal=False" TargetMode="External"/><Relationship Id="rId50" Type="http://schemas.openxmlformats.org/officeDocument/2006/relationships/hyperlink" Target="https://community.secop.gov.co/Public/Tendering/OpportunityDetail/Index?noticeUID=CO1.NTC.2582281&amp;isFromPublicArea=True&amp;isModal=False" TargetMode="External"/><Relationship Id="rId55" Type="http://schemas.openxmlformats.org/officeDocument/2006/relationships/hyperlink" Target="https://www.colombiacompra.gov.co/tienda-virtual-del-estado-colombiano/ordenes-compra/107939" TargetMode="External"/><Relationship Id="rId7" Type="http://schemas.openxmlformats.org/officeDocument/2006/relationships/hyperlink" Target="https://community.secop.gov.co/Public/Tendering/OpportunityDetail/Index?noticeUID=CO1.NTC.4207910&amp;isFromPublicArea=True&amp;isModal=False" TargetMode="External"/><Relationship Id="rId2" Type="http://schemas.openxmlformats.org/officeDocument/2006/relationships/hyperlink" Target="https://www.colombiacompra.gov.co/tienda-virtual-del-estado-colombiano/ordenes-compra/107860" TargetMode="External"/><Relationship Id="rId16" Type="http://schemas.openxmlformats.org/officeDocument/2006/relationships/hyperlink" Target="https://www.colombiacompra.gov.co/tienda-virtual-del-estado-colombiano/ordenes-compra/107922" TargetMode="External"/><Relationship Id="rId29" Type="http://schemas.openxmlformats.org/officeDocument/2006/relationships/hyperlink" Target="https://community.secop.gov.co/Public/Tendering/ContractNoticePhases/View?PPI=CO1.PPI.24351425&amp;isFromPublicArea=True&amp;isModal=False" TargetMode="External"/><Relationship Id="rId11" Type="http://schemas.openxmlformats.org/officeDocument/2006/relationships/hyperlink" Target="https://community.secop.gov.co/Public/Tendering/OpportunityDetail/Index?noticeUID=CO1.NTC.4257399&amp;isFromPublicArea=True&amp;isModal=False" TargetMode="External"/><Relationship Id="rId24" Type="http://schemas.openxmlformats.org/officeDocument/2006/relationships/hyperlink" Target="https://www.colombiacompra.gov.co/tienda-virtual-del-estado-colombiano/ordenes-compra/108023" TargetMode="External"/><Relationship Id="rId32" Type="http://schemas.openxmlformats.org/officeDocument/2006/relationships/hyperlink" Target="https://community.secop.gov.co/Public/Tendering/OpportunityDetail/Index?noticeUID=CO1.NTC.4183765&amp;isFromPublicArea=True&amp;isModal=False" TargetMode="External"/><Relationship Id="rId37" Type="http://schemas.openxmlformats.org/officeDocument/2006/relationships/hyperlink" Target="https://community.secop.gov.co/Public/Tendering/OpportunityDetail/Index?noticeUID=CO1.NTC.4313440&amp;isFromPublicArea=True&amp;isModal=False" TargetMode="External"/><Relationship Id="rId40" Type="http://schemas.openxmlformats.org/officeDocument/2006/relationships/hyperlink" Target="https://www.colombiacompra.gov.co/tienda-virtual-del-estado-colombiano/ordenes-compra/108093" TargetMode="External"/><Relationship Id="rId45" Type="http://schemas.openxmlformats.org/officeDocument/2006/relationships/hyperlink" Target="https://community.secop.gov.co/Public/Tendering/OpportunityDetail/Index?noticeUID=CO1.NTC.4286432&amp;isFromPublicArea=True&amp;isModal=False" TargetMode="External"/><Relationship Id="rId53" Type="http://schemas.openxmlformats.org/officeDocument/2006/relationships/hyperlink" Target="https://www.colombiacompra.gov.co/tienda-virtual-del-estado-colombiano/ordenes-compra/107182" TargetMode="External"/><Relationship Id="rId5" Type="http://schemas.openxmlformats.org/officeDocument/2006/relationships/hyperlink" Target="https://community.secop.gov.co/Public/Tendering/OpportunityDetail/Index?noticeUID=CO1.NTC.4309205&amp;isFromPublicArea=True&amp;isModal=False" TargetMode="External"/><Relationship Id="rId19" Type="http://schemas.openxmlformats.org/officeDocument/2006/relationships/hyperlink" Target="https://www.colombiacompra.gov.co/tienda-virtual-del-estado-colombiano/ordenes-compra/108228" TargetMode="External"/><Relationship Id="rId4" Type="http://schemas.openxmlformats.org/officeDocument/2006/relationships/hyperlink" Target="https://community.secop.gov.co/Public/Tendering/OpportunityDetail/Index?noticeUID=CO1.NTC.4303597&amp;isFromPublicArea=True&amp;isModal=False" TargetMode="External"/><Relationship Id="rId9" Type="http://schemas.openxmlformats.org/officeDocument/2006/relationships/hyperlink" Target="https://community.secop.gov.co/Public/Tendering/OpportunityDetail/Index?noticeUID=CO1.NTC.4237665&amp;isFromPublicArea=True&amp;isModal=False" TargetMode="External"/><Relationship Id="rId14" Type="http://schemas.openxmlformats.org/officeDocument/2006/relationships/hyperlink" Target="https://www.colombiacompra.gov.co/tienda-virtual-del-estado-colombiano/ordenes-compra/107658" TargetMode="External"/><Relationship Id="rId22" Type="http://schemas.openxmlformats.org/officeDocument/2006/relationships/hyperlink" Target="https://community.secop.gov.co/Public/Tendering/OpportunityDetail/Index?noticeUID=CO1.NTC.4289612&amp;isFromPublicArea=True&amp;isModal=False" TargetMode="External"/><Relationship Id="rId27" Type="http://schemas.openxmlformats.org/officeDocument/2006/relationships/hyperlink" Target="https://community.secop.gov.co/Public/Tendering/ContractNoticePhases/View?PPI=CO1.PPI.23733012&amp;isFromPublicArea=True&amp;isModal=False" TargetMode="External"/><Relationship Id="rId30" Type="http://schemas.openxmlformats.org/officeDocument/2006/relationships/hyperlink" Target="https://community.secop.gov.co/Public/Tendering/ContractNoticePhases/View?PPI=CO1.PPI.24355863&amp;isFromPublicArea=True&amp;isModal=False" TargetMode="External"/><Relationship Id="rId35" Type="http://schemas.openxmlformats.org/officeDocument/2006/relationships/hyperlink" Target="https://community.secop.gov.co/Public/Tendering/OpportunityDetail/Index?noticeUID=CO1.NTC.4180159&amp;isFromPublicArea=True&amp;isModal=False" TargetMode="External"/><Relationship Id="rId43" Type="http://schemas.openxmlformats.org/officeDocument/2006/relationships/hyperlink" Target="https://www.colombiacompra.gov.co/tienda-virtual-del-estado-colombiano/ordenes-compra/108673" TargetMode="External"/><Relationship Id="rId48" Type="http://schemas.openxmlformats.org/officeDocument/2006/relationships/hyperlink" Target="https://community.secop.gov.co/Public/Tendering/OpportunityDetail/Index?noticeUID=CO1.NTC.4312231&amp;isFromPublicArea=True&amp;isModal=False" TargetMode="External"/><Relationship Id="rId56" Type="http://schemas.openxmlformats.org/officeDocument/2006/relationships/hyperlink" Target="https://www.colombiacompra.gov.co/tienda-virtual-del-estado-colombiano/ordenes-compra/107379" TargetMode="External"/><Relationship Id="rId8" Type="http://schemas.openxmlformats.org/officeDocument/2006/relationships/hyperlink" Target="https://colombiacompra.coupahost.com/requisition_headers/156329" TargetMode="External"/><Relationship Id="rId51" Type="http://schemas.openxmlformats.org/officeDocument/2006/relationships/hyperlink" Target="https://www.secop.gov.co/CO1BusinessLine/Tendering/BuyerWorkArea/Index?DocUniqueIdentifier=CO1.BDOS.4205388" TargetMode="External"/><Relationship Id="rId3" Type="http://schemas.openxmlformats.org/officeDocument/2006/relationships/hyperlink" Target="https://community.secop.gov.co/Public/Tendering/OpportunityDetail/Index?noticeUID=CO1.NTC.4314793&amp;isFromPublicArea=True&amp;isModal=False" TargetMode="External"/><Relationship Id="rId12" Type="http://schemas.openxmlformats.org/officeDocument/2006/relationships/hyperlink" Target="https://community.secop.gov.co/Public/Tendering/OpportunityDetail/Index?noticeUID=CO1.NTC.4311638&amp;isFromPublicArea=True&amp;isModal=False" TargetMode="External"/><Relationship Id="rId17" Type="http://schemas.openxmlformats.org/officeDocument/2006/relationships/hyperlink" Target="https://www.colombiacompra.gov.co/tienda-virtual-del-estado-colombiano/ordenes-compra/107923" TargetMode="External"/><Relationship Id="rId25" Type="http://schemas.openxmlformats.org/officeDocument/2006/relationships/hyperlink" Target="https://www.colombiacompra.gov.co/tienda-virtual-del-estado-colombiano/ordenes-compra/108320" TargetMode="External"/><Relationship Id="rId33" Type="http://schemas.openxmlformats.org/officeDocument/2006/relationships/hyperlink" Target="https://community.secop.gov.co/Public/Tendering/OpportunityDetail/Index?noticeUID=CO1.NTC.4180159&amp;isFromPublicArea=True&amp;isModal=False" TargetMode="External"/><Relationship Id="rId38" Type="http://schemas.openxmlformats.org/officeDocument/2006/relationships/hyperlink" Target="https://www.secop.gov.co/CO1BusinessLine/Tendering/BuyerWorkArea/Index?DocUniqueIdentifier=CO1.BDOS.4306631" TargetMode="External"/><Relationship Id="rId46" Type="http://schemas.openxmlformats.org/officeDocument/2006/relationships/hyperlink" Target="https://community.secop.gov.co/Public/Tendering/OpportunityDetail/Index?noticeUID=CO1.NTC.4297139&amp;isFromPublicArea=True&amp;isModal=False" TargetMode="External"/><Relationship Id="rId20" Type="http://schemas.openxmlformats.org/officeDocument/2006/relationships/hyperlink" Target="https://community.secop.gov.co/Public/Tendering/OpportunityDetail/Index?noticeUID=CO1.NTC.4334241&amp;isFromPublicArea=True&amp;isModal=False" TargetMode="External"/><Relationship Id="rId41" Type="http://schemas.openxmlformats.org/officeDocument/2006/relationships/hyperlink" Target="https://www.colombiacompra.gov.co/tienda-virtual-del-estado-colombiano/ordenes-compra/108653" TargetMode="External"/><Relationship Id="rId54" Type="http://schemas.openxmlformats.org/officeDocument/2006/relationships/hyperlink" Target="https://www.colombiacompra.gov.co/tienda-virtual-del-estado-colombiano/ordenes-compra/107914" TargetMode="External"/><Relationship Id="rId1" Type="http://schemas.openxmlformats.org/officeDocument/2006/relationships/hyperlink" Target="https://www.colombiacompra.gov.co/tienda-virtual-del-estado-colombiano/ordenes-compra/107568" TargetMode="External"/><Relationship Id="rId6" Type="http://schemas.openxmlformats.org/officeDocument/2006/relationships/hyperlink" Target="https://community.secop.gov.co/Public/Tendering/OpportunityDetail/Index?noticeUID=CO1.NTC.4200191&amp;isFromPublicArea=True&amp;isModal=False" TargetMode="External"/><Relationship Id="rId15" Type="http://schemas.openxmlformats.org/officeDocument/2006/relationships/hyperlink" Target="https://www.colombiacompra.gov.co/tienda-virtual-del-estado-colombiano/ordenes-compra/107690" TargetMode="External"/><Relationship Id="rId23" Type="http://schemas.openxmlformats.org/officeDocument/2006/relationships/hyperlink" Target="https://www.colombiacompra.gov.co/tienda-virtual-del-estado-colombiano/ordenes-compra/107249" TargetMode="External"/><Relationship Id="rId28" Type="http://schemas.openxmlformats.org/officeDocument/2006/relationships/hyperlink" Target="https://community.secop.gov.co/Public/Tendering/ContractNoticePhases/View?PPI=CO1.PPI.24081585&amp;isFromPublicArea=True&amp;isModal=False" TargetMode="External"/><Relationship Id="rId36" Type="http://schemas.openxmlformats.org/officeDocument/2006/relationships/hyperlink" Target="https://community.secop.gov.co/Public/Tendering/OpportunityDetail/Index?noticeUID=CO1.NTC.4180159&amp;isFromPublicArea=True&amp;isModal=False" TargetMode="External"/><Relationship Id="rId49" Type="http://schemas.openxmlformats.org/officeDocument/2006/relationships/hyperlink" Target="https://colombiacompra.coupahost.com/order_headers/106564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community.secop.gov.co/Public/Tendering/OpportunityDetail/Index?noticeUID=CO1.NTC.4242516&amp;isFromPublicArea=True&amp;isModal=False" TargetMode="External"/><Relationship Id="rId31" Type="http://schemas.openxmlformats.org/officeDocument/2006/relationships/hyperlink" Target="https://www.colombiacompra.gov.co/tienda-virtual-del-estado-colombiano/ordenes-compra/105680" TargetMode="External"/><Relationship Id="rId44" Type="http://schemas.openxmlformats.org/officeDocument/2006/relationships/hyperlink" Target="https://community.secop.gov.co/Public/Tendering/OpportunityDetail/Index?noticeUID=CO1.NTC.4169078&amp;isFromPublicArea=True&amp;isModal=False" TargetMode="External"/><Relationship Id="rId52" Type="http://schemas.openxmlformats.org/officeDocument/2006/relationships/hyperlink" Target="https://www.secop.gov.co/CO1BusinessLine/Tendering/BuyerWorkArea/Index?DocUniqueIdentifier=CO1.BDOS.4103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DBD67-2EF3-4D13-9918-EEF25D15DD76}">
  <sheetPr codeName="Hoja4">
    <tabColor rgb="FF0B5394"/>
  </sheetPr>
  <dimension ref="A1:Z996"/>
  <sheetViews>
    <sheetView tabSelected="1" workbookViewId="0">
      <pane ySplit="1" topLeftCell="A2" activePane="bottomLeft" state="frozen"/>
      <selection pane="bottomLeft" activeCell="T9" sqref="T9"/>
    </sheetView>
  </sheetViews>
  <sheetFormatPr baseColWidth="10" defaultColWidth="14.42578125" defaultRowHeight="15" customHeight="1"/>
  <cols>
    <col min="1" max="1" width="18.140625" style="1" customWidth="1"/>
    <col min="2" max="2" width="20" style="1" bestFit="1" customWidth="1"/>
    <col min="3" max="6" width="10.7109375" style="1" customWidth="1"/>
    <col min="7" max="7" width="12.42578125" style="1" bestFit="1" customWidth="1"/>
    <col min="8" max="8" width="10.7109375" style="1" customWidth="1"/>
    <col min="9" max="9" width="12.42578125" style="1" bestFit="1" customWidth="1"/>
    <col min="10" max="26" width="10.7109375" style="1" customWidth="1"/>
    <col min="27" max="16384" width="14.42578125" style="1"/>
  </cols>
  <sheetData>
    <row r="1" spans="1:26" ht="69" customHeight="1">
      <c r="A1" s="9" t="s">
        <v>65</v>
      </c>
      <c r="B1" s="9" t="s">
        <v>64</v>
      </c>
      <c r="C1" s="9" t="s">
        <v>63</v>
      </c>
      <c r="D1" s="9" t="s">
        <v>62</v>
      </c>
      <c r="E1" s="9" t="s">
        <v>61</v>
      </c>
      <c r="F1" s="9" t="s">
        <v>60</v>
      </c>
      <c r="G1" s="9" t="s">
        <v>59</v>
      </c>
      <c r="H1" s="9" t="s">
        <v>58</v>
      </c>
      <c r="I1" s="9" t="s">
        <v>57</v>
      </c>
      <c r="J1" s="10" t="s">
        <v>56</v>
      </c>
      <c r="K1" s="10" t="s">
        <v>55</v>
      </c>
      <c r="L1" s="10" t="s">
        <v>54</v>
      </c>
      <c r="M1" s="10" t="s">
        <v>53</v>
      </c>
      <c r="N1" s="9" t="s">
        <v>52</v>
      </c>
      <c r="O1" s="9" t="s">
        <v>51</v>
      </c>
      <c r="P1" s="9" t="s">
        <v>50</v>
      </c>
      <c r="Q1" s="9" t="s">
        <v>49</v>
      </c>
      <c r="R1" s="9" t="s">
        <v>48</v>
      </c>
      <c r="S1" s="9" t="s">
        <v>47</v>
      </c>
      <c r="T1" s="9" t="s">
        <v>46</v>
      </c>
      <c r="U1" s="7"/>
      <c r="V1" s="7"/>
      <c r="W1" s="8"/>
      <c r="X1" s="7"/>
      <c r="Y1" s="7"/>
      <c r="Z1" s="7"/>
    </row>
    <row r="2" spans="1:26">
      <c r="A2" s="13" t="str">
        <f ca="1">IFERROR(__xludf.DUMMYFUNCTION("""COMPUTED_VALUE"""),"200 REGIONAL OCCIDENTE")</f>
        <v>200 REGIONAL OCCIDENTE</v>
      </c>
      <c r="B2" s="5" t="str">
        <f ca="1">IFERROR(__xludf.DUMMYFUNCTION("""COMPUTED_VALUE"""),"107568")</f>
        <v>107568</v>
      </c>
      <c r="C2" s="5" t="str">
        <f ca="1">IFERROR(__xludf.DUMMYFUNCTION("""COMPUTED_VALUE"""),"ACUERDO MARCO DE PRECIOS")</f>
        <v>ACUERDO MARCO DE PRECIOS</v>
      </c>
      <c r="D2" s="5" t="str">
        <f ca="1">IFERROR(__xludf.DUMMYFUNCTION("""COMPUTED_VALUE"""),"PRESTACIÓN DE SERVICIOS")</f>
        <v>PRESTACIÓN DE SERVICIOS</v>
      </c>
      <c r="E2" s="5" t="str">
        <f ca="1">IFERROR(__xludf.DUMMYFUNCTION("""COMPUTED_VALUE"""),"INTERNEGOCIOS SAS")</f>
        <v>INTERNEGOCIOS SAS</v>
      </c>
      <c r="F2" s="5" t="str">
        <f ca="1">IFERROR(__xludf.DUMMYFUNCTION("""COMPUTED_VALUE"""),"Prestación de servicio de aseo y cafetería y adquisición de productos de aseo y limpieza para las dependencias de la sede regional occidente INPEC ")</f>
        <v xml:space="preserve">Prestación de servicio de aseo y cafetería y adquisición de productos de aseo y limpieza para las dependencias de la sede regional occidente INPEC </v>
      </c>
      <c r="G2" s="11">
        <f ca="1">IFERROR(__xludf.DUMMYFUNCTION("""COMPUTED_VALUE"""),27084062.3)</f>
        <v>27084062.300000001</v>
      </c>
      <c r="H2" s="5">
        <v>0</v>
      </c>
      <c r="I2" s="11">
        <f ca="1">+G2+H2</f>
        <v>27084062.300000001</v>
      </c>
      <c r="J2" s="6">
        <f ca="1">IFERROR(__xludf.DUMMYFUNCTION("""COMPUTED_VALUE"""),45028)</f>
        <v>45028</v>
      </c>
      <c r="K2" s="6">
        <f ca="1">IFERROR(__xludf.DUMMYFUNCTION("""COMPUTED_VALUE"""),45034)</f>
        <v>45034</v>
      </c>
      <c r="L2" s="5" t="s">
        <v>0</v>
      </c>
      <c r="M2" s="6">
        <f ca="1">IFERROR(__xludf.DUMMYFUNCTION("""COMPUTED_VALUE"""),45289)</f>
        <v>45289</v>
      </c>
      <c r="N2" s="5" t="str">
        <f ca="1">IFERROR(__xludf.DUMMYFUNCTION("""COMPUTED_VALUE"""),"A-02-02-02-008-005 SERVICIO DE SOPORTE")</f>
        <v>A-02-02-02-008-005 SERVICIO DE SOPORTE</v>
      </c>
      <c r="O2" s="5" t="s">
        <v>45</v>
      </c>
      <c r="P2" s="5" t="str">
        <f ca="1">IFERROR(__xludf.DUMMYFUNCTION("""COMPUTED_VALUE"""),"10")</f>
        <v>10</v>
      </c>
      <c r="Q2" s="5" t="s">
        <v>68</v>
      </c>
      <c r="R2" s="5" t="str">
        <f ca="1">IFERROR(__xludf.DUMMYFUNCTION("""COMPUTED_VALUE"""),"107568")</f>
        <v>107568</v>
      </c>
      <c r="S2" s="14" t="str">
        <f ca="1">IFERROR(__xludf.DUMMYFUNCTION("""COMPUTED_VALUE"""),"https://www.colombiacompra.gov.co/tienda-virtual-del-estado-colombiano/ordenes-compra/107568")</f>
        <v>https://www.colombiacompra.gov.co/tienda-virtual-del-estado-colombiano/ordenes-compra/107568</v>
      </c>
      <c r="T2" s="5" t="s">
        <v>0</v>
      </c>
    </row>
    <row r="3" spans="1:26">
      <c r="A3" s="5" t="str">
        <f ca="1">IFERROR(__xludf.DUMMYFUNCTION("""COMPUTED_VALUE"""),"200 REGIONAL OCCIDENTE")</f>
        <v>200 REGIONAL OCCIDENTE</v>
      </c>
      <c r="B3" s="5" t="str">
        <f ca="1">IFERROR(__xludf.DUMMYFUNCTION("""COMPUTED_VALUE"""),"107860")</f>
        <v>107860</v>
      </c>
      <c r="C3" s="5" t="str">
        <f ca="1">IFERROR(__xludf.DUMMYFUNCTION("""COMPUTED_VALUE"""),"GRANDES SUPERFICIES")</f>
        <v>GRANDES SUPERFICIES</v>
      </c>
      <c r="D3" s="5" t="str">
        <f ca="1">IFERROR(__xludf.DUMMYFUNCTION("""COMPUTED_VALUE"""),"SUMINISTRO")</f>
        <v>SUMINISTRO</v>
      </c>
      <c r="E3" s="5" t="str">
        <f ca="1">IFERROR(__xludf.DUMMYFUNCTION("""COMPUTED_VALUE"""),"LA PREVISORA ")</f>
        <v xml:space="preserve">LA PREVISORA </v>
      </c>
      <c r="F3" s="5" t="str">
        <f ca="1">IFERROR(__xludf.DUMMYFUNCTION("""COMPUTED_VALUE"""),"Compra de seguro obligatorio de accidentes de transito SOAT para el parque automotor de la Regional y Establecimientos adscritos a la Dirección Regional Occidente del INPEC ")</f>
        <v xml:space="preserve">Compra de seguro obligatorio de accidentes de transito SOAT para el parque automotor de la Regional y Establecimientos adscritos a la Dirección Regional Occidente del INPEC </v>
      </c>
      <c r="G3" s="11">
        <f ca="1">IFERROR(__xludf.DUMMYFUNCTION("""COMPUTED_VALUE"""),76351160)</f>
        <v>76351160</v>
      </c>
      <c r="H3" s="5">
        <v>0</v>
      </c>
      <c r="I3" s="11">
        <f t="shared" ref="I3:I64" ca="1" si="0">+G3+H3</f>
        <v>76351160</v>
      </c>
      <c r="J3" s="6">
        <f ca="1">IFERROR(__xludf.DUMMYFUNCTION("""COMPUTED_VALUE"""),45034)</f>
        <v>45034</v>
      </c>
      <c r="K3" s="6">
        <f ca="1">IFERROR(__xludf.DUMMYFUNCTION("""COMPUTED_VALUE"""),45036)</f>
        <v>45036</v>
      </c>
      <c r="L3" s="5" t="s">
        <v>0</v>
      </c>
      <c r="M3" s="6">
        <f ca="1">IFERROR(__xludf.DUMMYFUNCTION("""COMPUTED_VALUE"""),45230)</f>
        <v>45230</v>
      </c>
      <c r="N3" s="5" t="str">
        <f ca="1">IFERROR(__xludf.DUMMYFUNCTION("""COMPUTED_VALUE"""),"A-02-02-02-007-001 SERVICIOS FINANCIEROS")</f>
        <v>A-02-02-02-007-001 SERVICIOS FINANCIEROS</v>
      </c>
      <c r="O3" s="5" t="s">
        <v>44</v>
      </c>
      <c r="P3" s="5" t="str">
        <f ca="1">IFERROR(__xludf.DUMMYFUNCTION("""COMPUTED_VALUE"""),"10")</f>
        <v>10</v>
      </c>
      <c r="Q3" s="5" t="str">
        <f ca="1">IFERROR(__xludf.DUMMYFUNCTION("""COMPUTED_VALUE"""),"NACION")</f>
        <v>NACION</v>
      </c>
      <c r="R3" s="5" t="str">
        <f ca="1">IFERROR(__xludf.DUMMYFUNCTION("""COMPUTED_VALUE"""),"107860")</f>
        <v>107860</v>
      </c>
      <c r="S3" s="14" t="str">
        <f ca="1">IFERROR(__xludf.DUMMYFUNCTION("""COMPUTED_VALUE"""),"https://www.colombiacompra.gov.co/tienda-virtual-del-estado-colombiano/ordenes-compra/107860")</f>
        <v>https://www.colombiacompra.gov.co/tienda-virtual-del-estado-colombiano/ordenes-compra/107860</v>
      </c>
      <c r="T3" s="5" t="s">
        <v>0</v>
      </c>
    </row>
    <row r="4" spans="1:26">
      <c r="A4" s="5" t="str">
        <f ca="1">IFERROR(__xludf.DUMMYFUNCTION("""COMPUTED_VALUE"""),"200 REGIONAL OCCIDENTE")</f>
        <v>200 REGIONAL OCCIDENTE</v>
      </c>
      <c r="B4" s="5" t="str">
        <f ca="1">IFERROR(__xludf.DUMMYFUNCTION("""COMPUTED_VALUE"""),"MC06-2023")</f>
        <v>MC06-2023</v>
      </c>
      <c r="C4" s="5" t="str">
        <f ca="1">IFERROR(__xludf.DUMMYFUNCTION("""COMPUTED_VALUE"""),"MÍNIMA CUANTÍA")</f>
        <v>MÍNIMA CUANTÍA</v>
      </c>
      <c r="D4" s="5" t="str">
        <f ca="1">IFERROR(__xludf.DUMMYFUNCTION("""COMPUTED_VALUE"""),"PRESTACIÓN DE SERVICIOS")</f>
        <v>PRESTACIÓN DE SERVICIOS</v>
      </c>
      <c r="E4" s="5" t="str">
        <f ca="1">IFERROR(__xludf.DUMMYFUNCTION("""COMPUTED_VALUE"""),"JOAQUÍN GONZALEZ LUCUMI - TALLER GONZALEZ")</f>
        <v>JOAQUÍN GONZALEZ LUCUMI - TALLER GONZALEZ</v>
      </c>
      <c r="F4" s="5" t="str">
        <f ca="1">IFERROR(__xludf.DUMMYFUNCTION("""COMPUTED_VALUE"""),"Contratar la Prestación del Servicio de Mantenimiento Preventivo, Correctivo, Mano de Obra, Suministro de Repuestos, Certificación Tecno Mecánica, Suministro y Cambio de Lubricantes, Aceites, Líquidos Limpiadores y Filtros, Necesarios Para el Buen Funcion"&amp;"amiento del Parque Automotor del Grupo CRI y de la Dirección Regional Occidente del Instituto Nacional Penitenciario y Carcelario –INPEC. En Taller Ubicado en la ciudad de Santiago de Cali.
")</f>
        <v xml:space="preserve">Contratar la Prestación del Servicio de Mantenimiento Preventivo, Correctivo, Mano de Obra, Suministro de Repuestos, Certificación Tecno Mecánica, Suministro y Cambio de Lubricantes, Aceites, Líquidos Limpiadores y Filtros, Necesarios Para el Buen Funcionamiento del Parque Automotor del Grupo CRI y de la Dirección Regional Occidente del Instituto Nacional Penitenciario y Carcelario –INPEC. En Taller Ubicado en la ciudad de Santiago de Cali.
</v>
      </c>
      <c r="G4" s="11">
        <f ca="1">IFERROR(__xludf.DUMMYFUNCTION("""COMPUTED_VALUE"""),31756900)</f>
        <v>31756900</v>
      </c>
      <c r="H4" s="5">
        <v>0</v>
      </c>
      <c r="I4" s="11">
        <f t="shared" ca="1" si="0"/>
        <v>31756900</v>
      </c>
      <c r="J4" s="6">
        <f ca="1">IFERROR(__xludf.DUMMYFUNCTION("""COMPUTED_VALUE"""),45041)</f>
        <v>45041</v>
      </c>
      <c r="K4" s="6">
        <f ca="1">IFERROR(__xludf.DUMMYFUNCTION("""COMPUTED_VALUE"""),45042)</f>
        <v>45042</v>
      </c>
      <c r="L4" s="5" t="s">
        <v>0</v>
      </c>
      <c r="M4" s="6">
        <f ca="1">IFERROR(__xludf.DUMMYFUNCTION("""COMPUTED_VALUE"""),45260)</f>
        <v>45260</v>
      </c>
      <c r="N4" s="5" t="str">
        <f ca="1">IFERROR(__xludf.DUMMYFUNCTION("""COMPUTED_VALUE"""),"A-02-02-01-003-003/A-02-02-02-008-007")</f>
        <v>A-02-02-01-003-003/A-02-02-02-008-007</v>
      </c>
      <c r="O4" s="5" t="s">
        <v>25</v>
      </c>
      <c r="P4" s="5" t="str">
        <f ca="1">IFERROR(__xludf.DUMMYFUNCTION("""COMPUTED_VALUE"""),"10")</f>
        <v>10</v>
      </c>
      <c r="Q4" s="5" t="str">
        <f ca="1">IFERROR(__xludf.DUMMYFUNCTION("""COMPUTED_VALUE"""),"NACION")</f>
        <v>NACION</v>
      </c>
      <c r="R4" s="5" t="s">
        <v>69</v>
      </c>
      <c r="S4" s="14" t="str">
        <f ca="1">IFERROR(__xludf.DUMMYFUNCTION("""COMPUTED_VALUE"""),"https://community.secop.gov.co/Public/Tendering/OpportunityDetail/Index?noticeUID=CO1.NTC.4314793&amp;isFromPublicArea=True&amp;isModal=False")</f>
        <v>https://community.secop.gov.co/Public/Tendering/OpportunityDetail/Index?noticeUID=CO1.NTC.4314793&amp;isFromPublicArea=True&amp;isModal=False</v>
      </c>
      <c r="T4" s="5" t="s">
        <v>0</v>
      </c>
    </row>
    <row r="5" spans="1:26">
      <c r="A5" s="5" t="str">
        <f ca="1">IFERROR(__xludf.DUMMYFUNCTION("""COMPUTED_VALUE"""),"202 BOLIVAR")</f>
        <v>202 BOLIVAR</v>
      </c>
      <c r="B5" s="5" t="str">
        <f ca="1">IFERROR(__xludf.DUMMYFUNCTION("""COMPUTED_VALUE"""),"202-SMC-008-2023")</f>
        <v>202-SMC-008-2023</v>
      </c>
      <c r="C5" s="5" t="str">
        <f ca="1">IFERROR(__xludf.DUMMYFUNCTION("""COMPUTED_VALUE"""),"MÍNIMA CUANTÍA")</f>
        <v>MÍNIMA CUANTÍA</v>
      </c>
      <c r="D5" s="5" t="str">
        <f ca="1">IFERROR(__xludf.DUMMYFUNCTION("""COMPUTED_VALUE"""),"SUMINISTRO")</f>
        <v>SUMINISTRO</v>
      </c>
      <c r="E5" s="5" t="str">
        <f ca="1">IFERROR(__xludf.DUMMYFUNCTION("""COMPUTED_VALUE"""),"MONTAGAS")</f>
        <v>MONTAGAS</v>
      </c>
      <c r="F5" s="5" t="str">
        <f ca="1">IFERROR(__xludf.DUMMYFUNCTION("""COMPUTED_VALUE"""),"CONTRATAR LA PRESTACION DE SERVICIOS DE SUMINISTRO DE GAS LICUADO DE PETROLEO A PRECIOS UNITARIOS FIJOS SIN FORMULA DE REAJUSTE, CON DESTINO A LOS PROYECTOS PRODUCTIVOS DE PANADERIA Y DEL ASADERO DEL EPMSC BOLIVAR CAUCA")</f>
        <v>CONTRATAR LA PRESTACION DE SERVICIOS DE SUMINISTRO DE GAS LICUADO DE PETROLEO A PRECIOS UNITARIOS FIJOS SIN FORMULA DE REAJUSTE, CON DESTINO A LOS PROYECTOS PRODUCTIVOS DE PANADERIA Y DEL ASADERO DEL EPMSC BOLIVAR CAUCA</v>
      </c>
      <c r="G5" s="11">
        <f ca="1">IFERROR(__xludf.DUMMYFUNCTION("""COMPUTED_VALUE"""),3301400)</f>
        <v>3301400</v>
      </c>
      <c r="H5" s="5">
        <v>0</v>
      </c>
      <c r="I5" s="11">
        <f t="shared" ca="1" si="0"/>
        <v>3301400</v>
      </c>
      <c r="J5" s="6">
        <f ca="1">IFERROR(__xludf.DUMMYFUNCTION("""COMPUTED_VALUE"""),45036)</f>
        <v>45036</v>
      </c>
      <c r="K5" s="6">
        <f ca="1">IFERROR(__xludf.DUMMYFUNCTION("""COMPUTED_VALUE"""),45036)</f>
        <v>45036</v>
      </c>
      <c r="L5" s="5" t="s">
        <v>0</v>
      </c>
      <c r="M5" s="6">
        <f ca="1">IFERROR(__xludf.DUMMYFUNCTION("""COMPUTED_VALUE"""),45291)</f>
        <v>45291</v>
      </c>
      <c r="N5" s="5" t="str">
        <f ca="1">IFERROR(__xludf.DUMMYFUNCTION("""COMPUTED_VALUE"""),"A-05-01-01-003-003")</f>
        <v>A-05-01-01-003-003</v>
      </c>
      <c r="O5" s="5" t="s">
        <v>41</v>
      </c>
      <c r="P5" s="5" t="str">
        <f ca="1">IFERROR(__xludf.DUMMYFUNCTION("""COMPUTED_VALUE"""),"26")</f>
        <v>26</v>
      </c>
      <c r="Q5" s="5" t="str">
        <f ca="1">IFERROR(__xludf.DUMMYFUNCTION("""COMPUTED_VALUE"""),"PROPIOS")</f>
        <v>PROPIOS</v>
      </c>
      <c r="R5" s="5" t="str">
        <f ca="1">IFERROR(__xludf.DUMMYFUNCTION("""COMPUTED_VALUE"""),"CO1.BDOS.4300186")</f>
        <v>CO1.BDOS.4300186</v>
      </c>
      <c r="S5" s="14" t="str">
        <f ca="1">IFERROR(__xludf.DUMMYFUNCTION("""COMPUTED_VALUE"""),"https://community.secop.gov.co/Public/Tendering/OpportunityDetail/Index?noticeUID=CO1.NTC.4303597&amp;isFromPublicArea=True&amp;isModal=False")</f>
        <v>https://community.secop.gov.co/Public/Tendering/OpportunityDetail/Index?noticeUID=CO1.NTC.4303597&amp;isFromPublicArea=True&amp;isModal=False</v>
      </c>
      <c r="T5" s="5" t="s">
        <v>0</v>
      </c>
    </row>
    <row r="6" spans="1:26">
      <c r="A6" s="5" t="str">
        <f ca="1">IFERROR(__xludf.DUMMYFUNCTION("""COMPUTED_VALUE"""),"202 BOLIVAR")</f>
        <v>202 BOLIVAR</v>
      </c>
      <c r="B6" s="5" t="str">
        <f ca="1">IFERROR(__xludf.DUMMYFUNCTION("""COMPUTED_VALUE"""),"202-SMC-009-2023")</f>
        <v>202-SMC-009-2023</v>
      </c>
      <c r="C6" s="5" t="str">
        <f ca="1">IFERROR(__xludf.DUMMYFUNCTION("""COMPUTED_VALUE"""),"MÍNIMA CUANTÍA")</f>
        <v>MÍNIMA CUANTÍA</v>
      </c>
      <c r="D6" s="5" t="str">
        <f ca="1">IFERROR(__xludf.DUMMYFUNCTION("""COMPUTED_VALUE"""),"COMPRAVENTA")</f>
        <v>COMPRAVENTA</v>
      </c>
      <c r="E6" s="5" t="str">
        <f ca="1">IFERROR(__xludf.DUMMYFUNCTION("""COMPUTED_VALUE"""),"GRUPO EMPRESARIL VID SAS")</f>
        <v>GRUPO EMPRESARIL VID SAS</v>
      </c>
      <c r="F6" s="5" t="str">
        <f ca="1">IFERROR(__xludf.DUMMYFUNCTION("""COMPUTED_VALUE"""),"CONTRATAR LA ADQUISICION DE ELEMENTOS DE ILUMINACION Y SEGURIDAD PARA EL EPMSC DE BOLÍVAR CAUCA")</f>
        <v>CONTRATAR LA ADQUISICION DE ELEMENTOS DE ILUMINACION Y SEGURIDAD PARA EL EPMSC DE BOLÍVAR CAUCA</v>
      </c>
      <c r="G6" s="11">
        <f ca="1">IFERROR(__xludf.DUMMYFUNCTION("""COMPUTED_VALUE"""),1962000)</f>
        <v>1962000</v>
      </c>
      <c r="H6" s="5">
        <v>0</v>
      </c>
      <c r="I6" s="11">
        <f t="shared" ca="1" si="0"/>
        <v>1962000</v>
      </c>
      <c r="J6" s="6">
        <f ca="1">IFERROR(__xludf.DUMMYFUNCTION("""COMPUTED_VALUE"""),45039)</f>
        <v>45039</v>
      </c>
      <c r="K6" s="6">
        <f ca="1">IFERROR(__xludf.DUMMYFUNCTION("""COMPUTED_VALUE"""),45039)</f>
        <v>45039</v>
      </c>
      <c r="L6" s="5" t="s">
        <v>0</v>
      </c>
      <c r="M6" s="6">
        <f ca="1">IFERROR(__xludf.DUMMYFUNCTION("""COMPUTED_VALUE"""),45069)</f>
        <v>45069</v>
      </c>
      <c r="N6" s="5" t="str">
        <f ca="1">IFERROR(__xludf.DUMMYFUNCTION("""COMPUTED_VALUE"""),"A-02-02-01-004-002  A-02-02-01-004-006      A-02-02-01-004-002     A-02-02-01-004-006 ")</f>
        <v xml:space="preserve">A-02-02-01-004-002  A-02-02-01-004-006      A-02-02-01-004-002     A-02-02-01-004-006 </v>
      </c>
      <c r="O6" s="5" t="s">
        <v>40</v>
      </c>
      <c r="P6" s="5">
        <v>26</v>
      </c>
      <c r="Q6" s="5" t="str">
        <f ca="1">IFERROR(__xludf.DUMMYFUNCTION("""COMPUTED_VALUE"""),"NACION")</f>
        <v>NACION</v>
      </c>
      <c r="R6" s="5" t="str">
        <f ca="1">IFERROR(__xludf.DUMMYFUNCTION("""COMPUTED_VALUE"""),"CO1.BDOS.4305725")</f>
        <v>CO1.BDOS.4305725</v>
      </c>
      <c r="S6" s="14" t="str">
        <f ca="1">IFERROR(__xludf.DUMMYFUNCTION("""COMPUTED_VALUE"""),"https://community.secop.gov.co/Public/Tendering/OpportunityDetail/Index?noticeUID=CO1.NTC.4309205&amp;isFromPublicArea=True&amp;isModal=False")</f>
        <v>https://community.secop.gov.co/Public/Tendering/OpportunityDetail/Index?noticeUID=CO1.NTC.4309205&amp;isFromPublicArea=True&amp;isModal=False</v>
      </c>
      <c r="T6" s="5" t="s">
        <v>0</v>
      </c>
    </row>
    <row r="7" spans="1:26">
      <c r="A7" s="5" t="str">
        <f ca="1">IFERROR(__xludf.DUMMYFUNCTION("""COMPUTED_VALUE"""),"204 EL BORDO")</f>
        <v>204 EL BORDO</v>
      </c>
      <c r="B7" s="5" t="str">
        <f ca="1">IFERROR(__xludf.DUMMYFUNCTION("""COMPUTED_VALUE"""),"MC204-006-2023")</f>
        <v>MC204-006-2023</v>
      </c>
      <c r="C7" s="5" t="str">
        <f ca="1">IFERROR(__xludf.DUMMYFUNCTION("""COMPUTED_VALUE"""),"MÍNIMA CUANTÍA")</f>
        <v>MÍNIMA CUANTÍA</v>
      </c>
      <c r="D7" s="5" t="str">
        <f ca="1">IFERROR(__xludf.DUMMYFUNCTION("""COMPUTED_VALUE"""),"PRESTACIÓN DE SERVICIOS")</f>
        <v>PRESTACIÓN DE SERVICIOS</v>
      </c>
      <c r="E7" s="5" t="str">
        <f ca="1">IFERROR(__xludf.DUMMYFUNCTION("""COMPUTED_VALUE"""),"GALINDEZ RODRIGUEZ ARY AUGUSTO")</f>
        <v>GALINDEZ RODRIGUEZ ARY AUGUSTO</v>
      </c>
      <c r="F7" s="5" t="str">
        <f ca="1">IFERROR(__xludf.DUMMYFUNCTION("""COMPUTED_VALUE"""),"“CONTRATAR EL SERVICIO DE MANTENIMIENTO PREVENTIVO Y CORRECTIVO A TODO COSTO (INCULYE REPUESTOS Y MANO DE OBRA) SUMINISTRO DE ACEITES Y FILTROS PARA EL VEHICULO OFICIAL VAN VOLKSWAGEN ASIGNADO AL CPMS EL BORDO CAUCA.”")</f>
        <v>“CONTRATAR EL SERVICIO DE MANTENIMIENTO PREVENTIVO Y CORRECTIVO A TODO COSTO (INCULYE REPUESTOS Y MANO DE OBRA) SUMINISTRO DE ACEITES Y FILTROS PARA EL VEHICULO OFICIAL VAN VOLKSWAGEN ASIGNADO AL CPMS EL BORDO CAUCA.”</v>
      </c>
      <c r="G7" s="11">
        <f ca="1">IFERROR(__xludf.DUMMYFUNCTION("""COMPUTED_VALUE"""),6404000)</f>
        <v>6404000</v>
      </c>
      <c r="H7" s="5">
        <v>0</v>
      </c>
      <c r="I7" s="11">
        <f t="shared" ca="1" si="0"/>
        <v>6404000</v>
      </c>
      <c r="J7" s="6">
        <f ca="1">IFERROR(__xludf.DUMMYFUNCTION("""COMPUTED_VALUE"""),45016)</f>
        <v>45016</v>
      </c>
      <c r="K7" s="6">
        <f ca="1">IFERROR(__xludf.DUMMYFUNCTION("""COMPUTED_VALUE"""),45041)</f>
        <v>45041</v>
      </c>
      <c r="L7" s="5" t="s">
        <v>0</v>
      </c>
      <c r="M7" s="6">
        <f ca="1">IFERROR(__xludf.DUMMYFUNCTION("""COMPUTED_VALUE"""),45291)</f>
        <v>45291</v>
      </c>
      <c r="N7" s="5" t="str">
        <f ca="1">IFERROR(__xludf.DUMMYFUNCTION("""COMPUTED_VALUE"""),"A-03-03-01-017")</f>
        <v>A-03-03-01-017</v>
      </c>
      <c r="O7" s="5" t="s">
        <v>36</v>
      </c>
      <c r="P7" s="5" t="str">
        <f ca="1">IFERROR(__xludf.DUMMYFUNCTION("""COMPUTED_VALUE"""),"10")</f>
        <v>10</v>
      </c>
      <c r="Q7" s="5" t="str">
        <f ca="1">IFERROR(__xludf.DUMMYFUNCTION("""COMPUTED_VALUE"""),"NACION")</f>
        <v>NACION</v>
      </c>
      <c r="R7" s="5" t="s">
        <v>37</v>
      </c>
      <c r="S7" s="14" t="str">
        <f ca="1">IFERROR(__xludf.DUMMYFUNCTION("""COMPUTED_VALUE"""),"https://community.secop.gov.co/Public/Tendering/OpportunityDetail/Index?noticeUID=CO1.NTC.4200191&amp;isFromPublicArea=True&amp;isModal=False")</f>
        <v>https://community.secop.gov.co/Public/Tendering/OpportunityDetail/Index?noticeUID=CO1.NTC.4200191&amp;isFromPublicArea=True&amp;isModal=False</v>
      </c>
      <c r="T7" s="5" t="s">
        <v>0</v>
      </c>
    </row>
    <row r="8" spans="1:26">
      <c r="A8" s="5" t="str">
        <f ca="1">IFERROR(__xludf.DUMMYFUNCTION("""COMPUTED_VALUE"""),"206 PUERTO TEJADA")</f>
        <v>206 PUERTO TEJADA</v>
      </c>
      <c r="B8" s="5" t="str">
        <f ca="1">IFERROR(__xludf.DUMMYFUNCTION("""COMPUTED_VALUE"""),"MC007-2023")</f>
        <v>MC007-2023</v>
      </c>
      <c r="C8" s="5" t="str">
        <f ca="1">IFERROR(__xludf.DUMMYFUNCTION("""COMPUTED_VALUE"""),"MÍNIMA CUANTÍA")</f>
        <v>MÍNIMA CUANTÍA</v>
      </c>
      <c r="D8" s="5" t="str">
        <f ca="1">IFERROR(__xludf.DUMMYFUNCTION("""COMPUTED_VALUE"""),"PRESTACIÓN DE SERVICIOS")</f>
        <v>PRESTACIÓN DE SERVICIOS</v>
      </c>
      <c r="E8" s="5" t="str">
        <f ca="1">IFERROR(__xludf.DUMMYFUNCTION("""COMPUTED_VALUE"""),"TYRES MARKET DE OCCIDENTE SAS")</f>
        <v>TYRES MARKET DE OCCIDENTE SAS</v>
      </c>
      <c r="F8" s="5" t="str">
        <f ca="1">IFERROR(__xludf.DUMMYFUNCTION("""COMPUTED_VALUE"""),"Servicio de mantenimiento de vehículo automotor camioneta SAIC WULING LZW6376 PLACA OBH571")</f>
        <v>Servicio de mantenimiento de vehículo automotor camioneta SAIC WULING LZW6376 PLACA OBH571</v>
      </c>
      <c r="G8" s="11">
        <f ca="1">IFERROR(__xludf.DUMMYFUNCTION("""COMPUTED_VALUE"""),2450000)</f>
        <v>2450000</v>
      </c>
      <c r="H8" s="5">
        <v>0</v>
      </c>
      <c r="I8" s="11">
        <f t="shared" ca="1" si="0"/>
        <v>2450000</v>
      </c>
      <c r="J8" s="6">
        <f ca="1">IFERROR(__xludf.DUMMYFUNCTION("""COMPUTED_VALUE"""),45017)</f>
        <v>45017</v>
      </c>
      <c r="K8" s="6">
        <f ca="1">IFERROR(__xludf.DUMMYFUNCTION("""COMPUTED_VALUE"""),45021)</f>
        <v>45021</v>
      </c>
      <c r="L8" s="5" t="s">
        <v>0</v>
      </c>
      <c r="M8" s="6">
        <f ca="1">IFERROR(__xludf.DUMMYFUNCTION("""COMPUTED_VALUE"""),45077)</f>
        <v>45077</v>
      </c>
      <c r="N8" s="5" t="str">
        <f ca="1">IFERROR(__xludf.DUMMYFUNCTION("""COMPUTED_VALUE"""),"A-02-02-02-008-007")</f>
        <v>A-02-02-02-008-007</v>
      </c>
      <c r="O8" s="5" t="s">
        <v>43</v>
      </c>
      <c r="P8" s="5">
        <v>10</v>
      </c>
      <c r="Q8" s="5" t="str">
        <f ca="1">IFERROR(__xludf.DUMMYFUNCTION("""COMPUTED_VALUE"""),"NACION")</f>
        <v>NACION</v>
      </c>
      <c r="R8" s="5" t="str">
        <f ca="1">IFERROR(__xludf.DUMMYFUNCTION("""COMPUTED_VALUE"""),"CO1.PCCNTR.4826701")</f>
        <v>CO1.PCCNTR.4826701</v>
      </c>
      <c r="S8" s="14" t="str">
        <f ca="1">IFERROR(__xludf.DUMMYFUNCTION("""COMPUTED_VALUE"""),"https://community.secop.gov.co/Public/Tendering/OpportunityDetail/Index?noticeUID=CO1.NTC.4207910&amp;isFromPublicArea=True&amp;isModal=False")</f>
        <v>https://community.secop.gov.co/Public/Tendering/OpportunityDetail/Index?noticeUID=CO1.NTC.4207910&amp;isFromPublicArea=True&amp;isModal=False</v>
      </c>
      <c r="T8" s="5" t="s">
        <v>0</v>
      </c>
    </row>
    <row r="9" spans="1:26">
      <c r="A9" s="5" t="str">
        <f ca="1">IFERROR(__xludf.DUMMYFUNCTION("""COMPUTED_VALUE"""),"206 PUERTO TEJADA")</f>
        <v>206 PUERTO TEJADA</v>
      </c>
      <c r="B9" s="5" t="str">
        <f ca="1">IFERROR(__xludf.DUMMYFUNCTION("""COMPUTED_VALUE"""),"107893")</f>
        <v>107893</v>
      </c>
      <c r="C9" s="5" t="s">
        <v>4</v>
      </c>
      <c r="D9" s="5" t="str">
        <f ca="1">IFERROR(__xludf.DUMMYFUNCTION("""COMPUTED_VALUE"""),"SUMINISTRO")</f>
        <v>SUMINISTRO</v>
      </c>
      <c r="E9" s="5" t="str">
        <f ca="1">IFERROR(__xludf.DUMMYFUNCTION("""COMPUTED_VALUE"""),"JAIME BELRAN URIBE")</f>
        <v>JAIME BELRAN URIBE</v>
      </c>
      <c r="F9" s="5" t="str">
        <f ca="1">IFERROR(__xludf.DUMMYFUNCTION("""COMPUTED_VALUE"""),"COMPRA DE SABANAS Y SOBRESABANAS PARA LAS PPL DEL ESTABLECIMIENTO")</f>
        <v>COMPRA DE SABANAS Y SOBRESABANAS PARA LAS PPL DEL ESTABLECIMIENTO</v>
      </c>
      <c r="G9" s="11">
        <f ca="1">IFERROR(__xludf.DUMMYFUNCTION("""COMPUTED_VALUE"""),1767200)</f>
        <v>1767200</v>
      </c>
      <c r="H9" s="5">
        <v>0</v>
      </c>
      <c r="I9" s="11">
        <f t="shared" ca="1" si="0"/>
        <v>1767200</v>
      </c>
      <c r="J9" s="6">
        <f ca="1">IFERROR(__xludf.DUMMYFUNCTION("""COMPUTED_VALUE"""),45034)</f>
        <v>45034</v>
      </c>
      <c r="K9" s="6">
        <f ca="1">IFERROR(__xludf.DUMMYFUNCTION("""COMPUTED_VALUE"""),45034)</f>
        <v>45034</v>
      </c>
      <c r="L9" s="5" t="s">
        <v>0</v>
      </c>
      <c r="M9" s="6">
        <f ca="1">IFERROR(__xludf.DUMMYFUNCTION("""COMPUTED_VALUE"""),45079)</f>
        <v>45079</v>
      </c>
      <c r="N9" s="5" t="str">
        <f ca="1">IFERROR(__xludf.DUMMYFUNCTION("""COMPUTED_VALUE"""),"A-03-03-01-017")</f>
        <v>A-03-03-01-017</v>
      </c>
      <c r="O9" s="5" t="s">
        <v>42</v>
      </c>
      <c r="P9" s="5">
        <v>10</v>
      </c>
      <c r="Q9" s="5" t="str">
        <f ca="1">IFERROR(__xludf.DUMMYFUNCTION("""COMPUTED_VALUE"""),"NACION")</f>
        <v>NACION</v>
      </c>
      <c r="R9" s="5" t="str">
        <f ca="1">IFERROR(__xludf.DUMMYFUNCTION("""COMPUTED_VALUE"""),"107893")</f>
        <v>107893</v>
      </c>
      <c r="S9" s="14" t="s">
        <v>70</v>
      </c>
      <c r="T9" s="5" t="s">
        <v>0</v>
      </c>
    </row>
    <row r="10" spans="1:26">
      <c r="A10" s="5" t="str">
        <f ca="1">IFERROR(__xludf.DUMMYFUNCTION("""COMPUTED_VALUE"""),"207 SANTANDER")</f>
        <v>207 SANTANDER</v>
      </c>
      <c r="B10" s="5" t="str">
        <f ca="1">IFERROR(__xludf.DUMMYFUNCTION("""COMPUTED_VALUE"""),"107182")</f>
        <v>107182</v>
      </c>
      <c r="C10" s="5" t="str">
        <f ca="1">IFERROR(__xludf.DUMMYFUNCTION("""COMPUTED_VALUE"""),"GRANDES SUPERFICIES")</f>
        <v>GRANDES SUPERFICIES</v>
      </c>
      <c r="D10" s="5" t="str">
        <f ca="1">IFERROR(__xludf.DUMMYFUNCTION("""COMPUTED_VALUE"""),"COMPRAVENTA")</f>
        <v>COMPRAVENTA</v>
      </c>
      <c r="E10" s="5" t="str">
        <f ca="1">IFERROR(__xludf.DUMMYFUNCTION("""COMPUTED_VALUE"""),"POLYFLEX")</f>
        <v>POLYFLEX</v>
      </c>
      <c r="F10" s="5" t="str">
        <f ca="1">IFERROR(__xludf.DUMMYFUNCTION("""COMPUTED_VALUE"""),"ADQUISICIÓN DE MATERIAL DE DOTACIÓN PARA LOS PPL, ADQUISICIÓN DE COLCHONETAS, SÁBANAS, SOBRESÁBANAS, ALMOHADAS, COBIJAS Y ELEMENTOS DE ASEO DEL EPMSC SANTANDER DE QUILICHAO")</f>
        <v>ADQUISICIÓN DE MATERIAL DE DOTACIÓN PARA LOS PPL, ADQUISICIÓN DE COLCHONETAS, SÁBANAS, SOBRESÁBANAS, ALMOHADAS, COBIJAS Y ELEMENTOS DE ASEO DEL EPMSC SANTANDER DE QUILICHAO</v>
      </c>
      <c r="G10" s="11">
        <f ca="1">IFERROR(__xludf.DUMMYFUNCTION("""COMPUTED_VALUE"""),61427000)</f>
        <v>61427000</v>
      </c>
      <c r="H10" s="5">
        <v>0</v>
      </c>
      <c r="I10" s="11">
        <f t="shared" ca="1" si="0"/>
        <v>61427000</v>
      </c>
      <c r="J10" s="6">
        <f ca="1">IFERROR(__xludf.DUMMYFUNCTION("""COMPUTED_VALUE"""),45020)</f>
        <v>45020</v>
      </c>
      <c r="K10" s="6">
        <f ca="1">IFERROR(__xludf.DUMMYFUNCTION("""COMPUTED_VALUE"""),45020)</f>
        <v>45020</v>
      </c>
      <c r="L10" s="5" t="s">
        <v>0</v>
      </c>
      <c r="M10" s="6">
        <f ca="1">IFERROR(__xludf.DUMMYFUNCTION("""COMPUTED_VALUE"""),45046)</f>
        <v>45046</v>
      </c>
      <c r="N10" s="5" t="str">
        <f ca="1">IFERROR(__xludf.DUMMYFUNCTION("""COMPUTED_VALUE"""),"A-03-03-01-017")</f>
        <v>A-03-03-01-017</v>
      </c>
      <c r="O10" s="5" t="s">
        <v>39</v>
      </c>
      <c r="P10" s="5" t="str">
        <f ca="1">IFERROR(__xludf.DUMMYFUNCTION("""COMPUTED_VALUE"""),"10")</f>
        <v>10</v>
      </c>
      <c r="Q10" s="5" t="str">
        <f ca="1">IFERROR(__xludf.DUMMYFUNCTION("""COMPUTED_VALUE"""),"NACION")</f>
        <v>NACION</v>
      </c>
      <c r="R10" s="5" t="str">
        <f ca="1">IFERROR(__xludf.DUMMYFUNCTION("""COMPUTED_VALUE"""),"107182")</f>
        <v>107182</v>
      </c>
      <c r="S10" s="15" t="s">
        <v>71</v>
      </c>
      <c r="T10" s="5" t="s">
        <v>0</v>
      </c>
    </row>
    <row r="11" spans="1:26">
      <c r="A11" s="5" t="str">
        <f ca="1">IFERROR(__xludf.DUMMYFUNCTION("""COMPUTED_VALUE"""),"207 SANTANDER")</f>
        <v>207 SANTANDER</v>
      </c>
      <c r="B11" s="5" t="str">
        <f ca="1">IFERROR(__xludf.DUMMYFUNCTION("""COMPUTED_VALUE"""),"107724")</f>
        <v>107724</v>
      </c>
      <c r="C11" s="5" t="str">
        <f ca="1">IFERROR(__xludf.DUMMYFUNCTION("""COMPUTED_VALUE"""),"ACUERDO MARCO DE PRECIOS")</f>
        <v>ACUERDO MARCO DE PRECIOS</v>
      </c>
      <c r="D11" s="5" t="str">
        <f ca="1">IFERROR(__xludf.DUMMYFUNCTION("""COMPUTED_VALUE"""),"SUMINISTRO")</f>
        <v>SUMINISTRO</v>
      </c>
      <c r="E11" s="5" t="str">
        <f ca="1">IFERROR(__xludf.DUMMYFUNCTION("""COMPUTED_VALUE"""),"BIGPASS S.A.S")</f>
        <v>BIGPASS S.A.S</v>
      </c>
      <c r="F11" s="5" t="str">
        <f ca="1">IFERROR(__xludf.DUMMYFUNCTION("""COMPUTED_VALUE"""),"CONTRATAR EL SUMINISTRO DE COMBUSTIBLE DIESEL (ACPM), PARA EL FUNCIONAMIENTO DE LOS VEHICULOS OFICIALES DEL PARQUE AUTOMOTOR DEL EPMSC DE SANTANDER DE QUILICHAO CAUCA")</f>
        <v>CONTRATAR EL SUMINISTRO DE COMBUSTIBLE DIESEL (ACPM), PARA EL FUNCIONAMIENTO DE LOS VEHICULOS OFICIALES DEL PARQUE AUTOMOTOR DEL EPMSC DE SANTANDER DE QUILICHAO CAUCA</v>
      </c>
      <c r="G11" s="11">
        <f ca="1">IFERROR(__xludf.DUMMYFUNCTION("""COMPUTED_VALUE"""),5000000)</f>
        <v>5000000</v>
      </c>
      <c r="H11" s="5">
        <v>0</v>
      </c>
      <c r="I11" s="11">
        <f t="shared" ca="1" si="0"/>
        <v>5000000</v>
      </c>
      <c r="J11" s="6">
        <f ca="1">IFERROR(__xludf.DUMMYFUNCTION("""COMPUTED_VALUE"""),45030)</f>
        <v>45030</v>
      </c>
      <c r="K11" s="6">
        <f ca="1">IFERROR(__xludf.DUMMYFUNCTION("""COMPUTED_VALUE"""),45030)</f>
        <v>45030</v>
      </c>
      <c r="L11" s="5" t="s">
        <v>0</v>
      </c>
      <c r="M11" s="6">
        <f ca="1">IFERROR(__xludf.DUMMYFUNCTION("""COMPUTED_VALUE"""),45275)</f>
        <v>45275</v>
      </c>
      <c r="N11" s="5" t="str">
        <f ca="1">IFERROR(__xludf.DUMMYFUNCTION("""COMPUTED_VALUE"""),"A-03-03-01-017")</f>
        <v>A-03-03-01-017</v>
      </c>
      <c r="O11" s="5" t="s">
        <v>38</v>
      </c>
      <c r="P11" s="5" t="str">
        <f ca="1">IFERROR(__xludf.DUMMYFUNCTION("""COMPUTED_VALUE"""),"10")</f>
        <v>10</v>
      </c>
      <c r="Q11" s="5" t="str">
        <f ca="1">IFERROR(__xludf.DUMMYFUNCTION("""COMPUTED_VALUE"""),"NACION")</f>
        <v>NACION</v>
      </c>
      <c r="R11" s="5" t="str">
        <f ca="1">IFERROR(__xludf.DUMMYFUNCTION("""COMPUTED_VALUE"""),"107724")</f>
        <v>107724</v>
      </c>
      <c r="S11" s="14" t="s">
        <v>72</v>
      </c>
      <c r="T11" s="5" t="s">
        <v>0</v>
      </c>
    </row>
    <row r="12" spans="1:26">
      <c r="A12" s="5" t="str">
        <f ca="1">IFERROR(__xludf.DUMMYFUNCTION("""COMPUTED_VALUE"""),"209 RM POPAYAN")</f>
        <v>209 RM POPAYAN</v>
      </c>
      <c r="B12" s="5" t="str">
        <f ca="1">IFERROR(__xludf.DUMMYFUNCTION("""COMPUTED_VALUE"""),"106437")</f>
        <v>106437</v>
      </c>
      <c r="C12" s="5" t="str">
        <f ca="1">IFERROR(__xludf.DUMMYFUNCTION("""COMPUTED_VALUE"""),"GRANDES SUPERFICIES")</f>
        <v>GRANDES SUPERFICIES</v>
      </c>
      <c r="D12" s="5" t="str">
        <f ca="1">IFERROR(__xludf.DUMMYFUNCTION("""COMPUTED_VALUE"""),"COMPRAVENTA")</f>
        <v>COMPRAVENTA</v>
      </c>
      <c r="E12" s="5" t="str">
        <f ca="1">IFERROR(__xludf.DUMMYFUNCTION("""COMPUTED_VALUE"""),"PANAMERICANA LIBRERIA Y PAPELERIA")</f>
        <v>PANAMERICANA LIBRERIA Y PAPELERIA</v>
      </c>
      <c r="F12" s="5" t="str">
        <f ca="1">IFERROR(__xludf.DUMMYFUNCTION("""COMPUTED_VALUE"""),"CONTRATAR EL SUMINISTRO DE COMPRA DE PRODUCTOS DE ASEOPARA LA CARCEL Y PENITENCIARIA DE MEDIA SEGURIDAD PARA MUJERES DE POPAYÁN -INPEC 2023")</f>
        <v>CONTRATAR EL SUMINISTRO DE COMPRA DE PRODUCTOS DE ASEOPARA LA CARCEL Y PENITENCIARIA DE MEDIA SEGURIDAD PARA MUJERES DE POPAYÁN -INPEC 2023</v>
      </c>
      <c r="G12" s="11">
        <f ca="1">IFERROR(__xludf.DUMMYFUNCTION("""COMPUTED_VALUE"""),2873304)</f>
        <v>2873304</v>
      </c>
      <c r="H12" s="5">
        <v>0</v>
      </c>
      <c r="I12" s="11">
        <f t="shared" ca="1" si="0"/>
        <v>2873304</v>
      </c>
      <c r="J12" s="6">
        <f ca="1">IFERROR(__xludf.DUMMYFUNCTION("""COMPUTED_VALUE"""),45028)</f>
        <v>45028</v>
      </c>
      <c r="K12" s="6">
        <f ca="1">IFERROR(__xludf.DUMMYFUNCTION("""COMPUTED_VALUE"""),45028)</f>
        <v>45028</v>
      </c>
      <c r="L12" s="5" t="s">
        <v>0</v>
      </c>
      <c r="M12" s="6">
        <f ca="1">IFERROR(__xludf.DUMMYFUNCTION("""COMPUTED_VALUE"""),45291)</f>
        <v>45291</v>
      </c>
      <c r="N12" s="5" t="str">
        <f ca="1">IFERROR(__xludf.DUMMYFUNCTION("""COMPUTED_VALUE"""),"A-02-02-01-003-005 ")</f>
        <v xml:space="preserve">A-02-02-01-003-005 </v>
      </c>
      <c r="O12" s="5" t="s">
        <v>3</v>
      </c>
      <c r="P12" s="5" t="str">
        <f ca="1">IFERROR(__xludf.DUMMYFUNCTION("""COMPUTED_VALUE"""),"10")</f>
        <v>10</v>
      </c>
      <c r="Q12" s="5" t="str">
        <f ca="1">IFERROR(__xludf.DUMMYFUNCTION("""COMPUTED_VALUE"""),"NACION")</f>
        <v>NACION</v>
      </c>
      <c r="R12" s="5" t="str">
        <f ca="1">IFERROR(__xludf.DUMMYFUNCTION("""COMPUTED_VALUE"""),"106437")</f>
        <v>106437</v>
      </c>
      <c r="S12" s="14" t="s">
        <v>73</v>
      </c>
      <c r="T12" s="5" t="s">
        <v>0</v>
      </c>
    </row>
    <row r="13" spans="1:26">
      <c r="A13" s="5" t="str">
        <f ca="1">IFERROR(__xludf.DUMMYFUNCTION("""COMPUTED_VALUE"""),"209 RM POPAYAN")</f>
        <v>209 RM POPAYAN</v>
      </c>
      <c r="B13" s="5" t="str">
        <f ca="1">IFERROR(__xludf.DUMMYFUNCTION("""COMPUTED_VALUE"""),"107071")</f>
        <v>107071</v>
      </c>
      <c r="C13" s="5" t="str">
        <f ca="1">IFERROR(__xludf.DUMMYFUNCTION("""COMPUTED_VALUE"""),"GRANDES SUPERFICIES")</f>
        <v>GRANDES SUPERFICIES</v>
      </c>
      <c r="D13" s="5" t="str">
        <f ca="1">IFERROR(__xludf.DUMMYFUNCTION("""COMPUTED_VALUE"""),"COMPRAVENTA")</f>
        <v>COMPRAVENTA</v>
      </c>
      <c r="E13" s="5" t="str">
        <f ca="1">IFERROR(__xludf.DUMMYFUNCTION("""COMPUTED_VALUE"""),"PANAMERICANA LIBRERIA Y PAPELERIA")</f>
        <v>PANAMERICANA LIBRERIA Y PAPELERIA</v>
      </c>
      <c r="F13" s="5" t="str">
        <f ca="1">IFERROR(__xludf.DUMMYFUNCTION("""COMPUTED_VALUE"""),"CONTRATAR EL SUMINISTRO DE COMPRA DE PRODUCTOS PARA LA ADECUACION DE LA CARCEL Y PENITENCIARIA DE MEDIA SEGURIDAD PARA MUJERES DE POPAYÁN -INPEC 2023")</f>
        <v>CONTRATAR EL SUMINISTRO DE COMPRA DE PRODUCTOS PARA LA ADECUACION DE LA CARCEL Y PENITENCIARIA DE MEDIA SEGURIDAD PARA MUJERES DE POPAYÁN -INPEC 2023</v>
      </c>
      <c r="G13" s="11">
        <f ca="1">IFERROR(__xludf.DUMMYFUNCTION("""COMPUTED_VALUE"""),1272800)</f>
        <v>1272800</v>
      </c>
      <c r="H13" s="5">
        <v>0</v>
      </c>
      <c r="I13" s="11">
        <f t="shared" ca="1" si="0"/>
        <v>1272800</v>
      </c>
      <c r="J13" s="6">
        <f ca="1">IFERROR(__xludf.DUMMYFUNCTION("""COMPUTED_VALUE"""),45026)</f>
        <v>45026</v>
      </c>
      <c r="K13" s="6">
        <f ca="1">IFERROR(__xludf.DUMMYFUNCTION("""COMPUTED_VALUE"""),45026)</f>
        <v>45026</v>
      </c>
      <c r="L13" s="5" t="s">
        <v>0</v>
      </c>
      <c r="M13" s="6">
        <f ca="1">IFERROR(__xludf.DUMMYFUNCTION("""COMPUTED_VALUE"""),45291)</f>
        <v>45291</v>
      </c>
      <c r="N13" s="5" t="str">
        <f ca="1">IFERROR(__xludf.DUMMYFUNCTION("""COMPUTED_VALUE"""),"A-02-02-01-004-002")</f>
        <v>A-02-02-01-004-002</v>
      </c>
      <c r="O13" s="5" t="s">
        <v>3</v>
      </c>
      <c r="P13" s="5" t="str">
        <f ca="1">IFERROR(__xludf.DUMMYFUNCTION("""COMPUTED_VALUE"""),"10")</f>
        <v>10</v>
      </c>
      <c r="Q13" s="5" t="str">
        <f ca="1">IFERROR(__xludf.DUMMYFUNCTION("""COMPUTED_VALUE"""),"NACION")</f>
        <v>NACION</v>
      </c>
      <c r="R13" s="5" t="str">
        <f ca="1">IFERROR(__xludf.DUMMYFUNCTION("""COMPUTED_VALUE"""),"107071")</f>
        <v>107071</v>
      </c>
      <c r="S13" s="14" t="s">
        <v>74</v>
      </c>
      <c r="T13" s="5" t="s">
        <v>0</v>
      </c>
    </row>
    <row r="14" spans="1:26">
      <c r="A14" s="5" t="str">
        <f ca="1">IFERROR(__xludf.DUMMYFUNCTION("""COMPUTED_VALUE"""),"209 RM POPAYAN")</f>
        <v>209 RM POPAYAN</v>
      </c>
      <c r="B14" s="5" t="str">
        <f ca="1">IFERROR(__xludf.DUMMYFUNCTION("""COMPUTED_VALUE"""),"107463")</f>
        <v>107463</v>
      </c>
      <c r="C14" s="5" t="str">
        <f ca="1">IFERROR(__xludf.DUMMYFUNCTION("""COMPUTED_VALUE"""),"GRANDES SUPERFICIES")</f>
        <v>GRANDES SUPERFICIES</v>
      </c>
      <c r="D14" s="5" t="str">
        <f ca="1">IFERROR(__xludf.DUMMYFUNCTION("""COMPUTED_VALUE"""),"COMPRAVENTA")</f>
        <v>COMPRAVENTA</v>
      </c>
      <c r="E14" s="5" t="str">
        <f ca="1">IFERROR(__xludf.DUMMYFUNCTION("""COMPUTED_VALUE"""),"PANAMERICANA LIBRERIA Y PAPELERIA")</f>
        <v>PANAMERICANA LIBRERIA Y PAPELERIA</v>
      </c>
      <c r="F14" s="5" t="str">
        <f ca="1">IFERROR(__xludf.DUMMYFUNCTION("""COMPUTED_VALUE"""),"CONTRATAR EL SUMINISTRO DE COMPRA DE PRODUCTOS DE PAPELERÍA PARA EL ALMACEN Y EL EXPENDIO DE LA CARCEL Y PENITENCIARIA DE MEDIA SEGURIDAD PARA MUJERES DE POPAYÁN -INPEC 2023")</f>
        <v>CONTRATAR EL SUMINISTRO DE COMPRA DE PRODUCTOS DE PAPELERÍA PARA EL ALMACEN Y EL EXPENDIO DE LA CARCEL Y PENITENCIARIA DE MEDIA SEGURIDAD PARA MUJERES DE POPAYÁN -INPEC 2023</v>
      </c>
      <c r="G14" s="11">
        <f ca="1">IFERROR(__xludf.DUMMYFUNCTION("""COMPUTED_VALUE"""),1182650)</f>
        <v>1182650</v>
      </c>
      <c r="H14" s="5">
        <v>0</v>
      </c>
      <c r="I14" s="11">
        <f t="shared" ca="1" si="0"/>
        <v>1182650</v>
      </c>
      <c r="J14" s="6">
        <f ca="1">IFERROR(__xludf.DUMMYFUNCTION("""COMPUTED_VALUE"""),45027)</f>
        <v>45027</v>
      </c>
      <c r="K14" s="6">
        <f ca="1">IFERROR(__xludf.DUMMYFUNCTION("""COMPUTED_VALUE"""),45039)</f>
        <v>45039</v>
      </c>
      <c r="L14" s="5" t="s">
        <v>0</v>
      </c>
      <c r="M14" s="6">
        <f ca="1">IFERROR(__xludf.DUMMYFUNCTION("""COMPUTED_VALUE"""),45291)</f>
        <v>45291</v>
      </c>
      <c r="N14" s="5" t="str">
        <f ca="1">IFERROR(__xludf.DUMMYFUNCTION("""COMPUTED_VALUE"""),"A-02-02-01-003-002   A-02-02-01-003-006  ")</f>
        <v xml:space="preserve">A-02-02-01-003-002   A-02-02-01-003-006  </v>
      </c>
      <c r="O14" s="5" t="s">
        <v>3</v>
      </c>
      <c r="P14" s="5" t="str">
        <f ca="1">IFERROR(__xludf.DUMMYFUNCTION("""COMPUTED_VALUE"""),"26")</f>
        <v>26</v>
      </c>
      <c r="Q14" s="5" t="str">
        <f ca="1">IFERROR(__xludf.DUMMYFUNCTION("""COMPUTED_VALUE"""),"NACION")</f>
        <v>NACION</v>
      </c>
      <c r="R14" s="5" t="str">
        <f ca="1">IFERROR(__xludf.DUMMYFUNCTION("""COMPUTED_VALUE"""),"107463")</f>
        <v>107463</v>
      </c>
      <c r="S14" s="14" t="s">
        <v>75</v>
      </c>
      <c r="T14" s="5" t="s">
        <v>0</v>
      </c>
    </row>
    <row r="15" spans="1:26">
      <c r="A15" s="5" t="str">
        <f ca="1">IFERROR(__xludf.DUMMYFUNCTION("""COMPUTED_VALUE"""),"209 RM POPAYAN")</f>
        <v>209 RM POPAYAN</v>
      </c>
      <c r="B15" s="5" t="str">
        <f ca="1">IFERROR(__xludf.DUMMYFUNCTION("""COMPUTED_VALUE"""),"106363")</f>
        <v>106363</v>
      </c>
      <c r="C15" s="5" t="str">
        <f ca="1">IFERROR(__xludf.DUMMYFUNCTION("""COMPUTED_VALUE"""),"GRANDES SUPERFICIES")</f>
        <v>GRANDES SUPERFICIES</v>
      </c>
      <c r="D15" s="5" t="str">
        <f ca="1">IFERROR(__xludf.DUMMYFUNCTION("""COMPUTED_VALUE"""),"COMPRAVENTA")</f>
        <v>COMPRAVENTA</v>
      </c>
      <c r="E15" s="5" t="str">
        <f ca="1">IFERROR(__xludf.DUMMYFUNCTION("""COMPUTED_VALUE"""),"POLIFLEX")</f>
        <v>POLIFLEX</v>
      </c>
      <c r="F15" s="5" t="str">
        <f ca="1">IFERROR(__xludf.DUMMYFUNCTION("""COMPUTED_VALUE"""),"CONTRATAR EL SUMINISTRO DE COMPRA DE PRODUCTOS DE QUIMICOS- ASEO PARA LA COMERCIALIZACION EN EL PUNTO DE VENTA DEL EXPENDO DE LA CARCEL Y PENITENCIARIA DE MEDIA SEGURIDAD PARA MUJERES DE POPAYÁN -INPEC 2023")</f>
        <v>CONTRATAR EL SUMINISTRO DE COMPRA DE PRODUCTOS DE QUIMICOS- ASEO PARA LA COMERCIALIZACION EN EL PUNTO DE VENTA DEL EXPENDO DE LA CARCEL Y PENITENCIARIA DE MEDIA SEGURIDAD PARA MUJERES DE POPAYÁN -INPEC 2023</v>
      </c>
      <c r="G15" s="11">
        <f ca="1">IFERROR(__xludf.DUMMYFUNCTION("""COMPUTED_VALUE"""),4397571)</f>
        <v>4397571</v>
      </c>
      <c r="H15" s="5">
        <v>0</v>
      </c>
      <c r="I15" s="11">
        <f t="shared" ca="1" si="0"/>
        <v>4397571</v>
      </c>
      <c r="J15" s="6">
        <f ca="1">IFERROR(__xludf.DUMMYFUNCTION("""COMPUTED_VALUE"""),45017)</f>
        <v>45017</v>
      </c>
      <c r="K15" s="6">
        <f ca="1">IFERROR(__xludf.DUMMYFUNCTION("""COMPUTED_VALUE"""),45019)</f>
        <v>45019</v>
      </c>
      <c r="L15" s="5" t="s">
        <v>0</v>
      </c>
      <c r="M15" s="6">
        <f ca="1">IFERROR(__xludf.DUMMYFUNCTION("""COMPUTED_VALUE"""),45291)</f>
        <v>45291</v>
      </c>
      <c r="N15" s="5" t="str">
        <f ca="1">IFERROR(__xludf.DUMMYFUNCTION("""COMPUTED_VALUE"""),"A-05-01-01-003-005")</f>
        <v>A-05-01-01-003-005</v>
      </c>
      <c r="O15" s="5" t="s">
        <v>6</v>
      </c>
      <c r="P15" s="5" t="str">
        <f ca="1">IFERROR(__xludf.DUMMYFUNCTION("""COMPUTED_VALUE"""),"26")</f>
        <v>26</v>
      </c>
      <c r="Q15" s="5" t="str">
        <f ca="1">IFERROR(__xludf.DUMMYFUNCTION("""COMPUTED_VALUE"""),"PROPIOS")</f>
        <v>PROPIOS</v>
      </c>
      <c r="R15" s="5" t="str">
        <f ca="1">IFERROR(__xludf.DUMMYFUNCTION("""COMPUTED_VALUE"""),"106363")</f>
        <v>106363</v>
      </c>
      <c r="S15" s="14" t="s">
        <v>76</v>
      </c>
      <c r="T15" s="5" t="s">
        <v>0</v>
      </c>
    </row>
    <row r="16" spans="1:26">
      <c r="A16" s="5" t="str">
        <f ca="1">IFERROR(__xludf.DUMMYFUNCTION("""COMPUTED_VALUE"""),"209 RM POPAYAN")</f>
        <v>209 RM POPAYAN</v>
      </c>
      <c r="B16" s="5" t="str">
        <f ca="1">IFERROR(__xludf.DUMMYFUNCTION("""COMPUTED_VALUE"""),"209,SMC,005,2023")</f>
        <v>209,SMC,005,2023</v>
      </c>
      <c r="C16" s="5" t="str">
        <f ca="1">IFERROR(__xludf.DUMMYFUNCTION("""COMPUTED_VALUE"""),"MÍNIMA CUANTÍA")</f>
        <v>MÍNIMA CUANTÍA</v>
      </c>
      <c r="D16" s="5" t="str">
        <f ca="1">IFERROR(__xludf.DUMMYFUNCTION("""COMPUTED_VALUE"""),"SUMINISTRO")</f>
        <v>SUMINISTRO</v>
      </c>
      <c r="E16" s="5" t="str">
        <f ca="1">IFERROR(__xludf.DUMMYFUNCTION("""COMPUTED_VALUE"""),"ELIANA LOPEZ DIAZ-FUMSERVICES")</f>
        <v>ELIANA LOPEZ DIAZ-FUMSERVICES</v>
      </c>
      <c r="F16" s="5" t="str">
        <f ca="1">IFERROR(__xludf.DUMMYFUNCTION("""COMPUTED_VALUE"""),"CONTRATAR LA FUMIGACION, DESRATIZACION Y CONTROL DE CALIDAD DE AGUA EN LA CARCEL Y PENITENCIARIA DE MEDIA SEGURIDAD PARA MUJERES DE POPAYAN-INPEC 2023")</f>
        <v>CONTRATAR LA FUMIGACION, DESRATIZACION Y CONTROL DE CALIDAD DE AGUA EN LA CARCEL Y PENITENCIARIA DE MEDIA SEGURIDAD PARA MUJERES DE POPAYAN-INPEC 2023</v>
      </c>
      <c r="G16" s="11">
        <f ca="1">IFERROR(__xludf.DUMMYFUNCTION("""COMPUTED_VALUE"""),5000000)</f>
        <v>5000000</v>
      </c>
      <c r="H16" s="5">
        <v>0</v>
      </c>
      <c r="I16" s="11">
        <f t="shared" ca="1" si="0"/>
        <v>5000000</v>
      </c>
      <c r="J16" s="6">
        <f ca="1">IFERROR(__xludf.DUMMYFUNCTION("""COMPUTED_VALUE"""),45043)</f>
        <v>45043</v>
      </c>
      <c r="K16" s="6">
        <f ca="1">IFERROR(__xludf.DUMMYFUNCTION("""COMPUTED_VALUE"""),45044)</f>
        <v>45044</v>
      </c>
      <c r="L16" s="5" t="s">
        <v>0</v>
      </c>
      <c r="M16" s="6">
        <f ca="1">IFERROR(__xludf.DUMMYFUNCTION("""COMPUTED_VALUE"""),45291)</f>
        <v>45291</v>
      </c>
      <c r="N16" s="5" t="str">
        <f ca="1">IFERROR(__xludf.DUMMYFUNCTION("""COMPUTED_VALUE"""),"A-03-03-01-017")</f>
        <v>A-03-03-01-017</v>
      </c>
      <c r="O16" s="5" t="s">
        <v>30</v>
      </c>
      <c r="P16" s="5" t="str">
        <f ca="1">IFERROR(__xludf.DUMMYFUNCTION("""COMPUTED_VALUE"""),"10")</f>
        <v>10</v>
      </c>
      <c r="Q16" s="5" t="str">
        <f ca="1">IFERROR(__xludf.DUMMYFUNCTION("""COMPUTED_VALUE"""),"NACION")</f>
        <v>NACION</v>
      </c>
      <c r="R16" s="5" t="str">
        <f ca="1">IFERROR(__xludf.DUMMYFUNCTION("""COMPUTED_VALUE"""),"CO1.BDOS.4305188")</f>
        <v>CO1.BDOS.4305188</v>
      </c>
      <c r="S16" s="14" t="str">
        <f ca="1">IFERROR(__xludf.DUMMYFUNCTION("""COMPUTED_VALUE"""),"https://colombiacompra.coupahost.com/requisition_headers/156329")</f>
        <v>https://colombiacompra.coupahost.com/requisition_headers/156329</v>
      </c>
      <c r="T16" s="5" t="s">
        <v>0</v>
      </c>
    </row>
    <row r="17" spans="1:20" ht="15.75" customHeight="1">
      <c r="A17" s="5" t="str">
        <f ca="1">IFERROR(__xludf.DUMMYFUNCTION("""COMPUTED_VALUE"""),"215 PASTO")</f>
        <v>215 PASTO</v>
      </c>
      <c r="B17" s="5" t="str">
        <f ca="1">IFERROR(__xludf.DUMMYFUNCTION("""COMPUTED_VALUE"""),"MC 012-2023 ")</f>
        <v xml:space="preserve">MC 012-2023 </v>
      </c>
      <c r="C17" s="5" t="str">
        <f ca="1">IFERROR(__xludf.DUMMYFUNCTION("""COMPUTED_VALUE"""),"MÍNIMA CUANTÍA")</f>
        <v>MÍNIMA CUANTÍA</v>
      </c>
      <c r="D17" s="5" t="str">
        <f ca="1">IFERROR(__xludf.DUMMYFUNCTION("""COMPUTED_VALUE"""),"SUMINISTRO")</f>
        <v>SUMINISTRO</v>
      </c>
      <c r="E17" s="5" t="str">
        <f ca="1">IFERROR(__xludf.DUMMYFUNCTION("""COMPUTED_VALUE"""),"EQUILIBRIUM PROYECTOS SAS")</f>
        <v>EQUILIBRIUM PROYECTOS SAS</v>
      </c>
      <c r="F17" s="5" t="str">
        <f ca="1">IFERROR(__xludf.DUMMYFUNCTION("""COMPUTED_VALUE"""),"Contratar suministro de materia prima e insumos para el proyecto productivo de panadería de la cárcel y penitenciaria de media seguridad y reclusión de mujeres de Pasto INPEC")</f>
        <v>Contratar suministro de materia prima e insumos para el proyecto productivo de panadería de la cárcel y penitenciaria de media seguridad y reclusión de mujeres de Pasto INPEC</v>
      </c>
      <c r="G17" s="12" t="s">
        <v>35</v>
      </c>
      <c r="H17" s="5">
        <v>0</v>
      </c>
      <c r="I17" s="11">
        <f t="shared" si="0"/>
        <v>95477807</v>
      </c>
      <c r="J17" s="6">
        <f ca="1">IFERROR(__xludf.DUMMYFUNCTION("""COMPUTED_VALUE"""),41368)</f>
        <v>41368</v>
      </c>
      <c r="K17" s="6">
        <f ca="1">IFERROR(__xludf.DUMMYFUNCTION("""COMPUTED_VALUE"""),45029)</f>
        <v>45029</v>
      </c>
      <c r="L17" s="5" t="s">
        <v>0</v>
      </c>
      <c r="M17" s="6">
        <f ca="1">IFERROR(__xludf.DUMMYFUNCTION("""COMPUTED_VALUE"""),45291)</f>
        <v>45291</v>
      </c>
      <c r="N17" s="5" t="str">
        <f ca="1">IFERROR(__xludf.DUMMYFUNCTION("""COMPUTED_VALUE"""),"A-05-01-01-002-003/a-05-01-01-002-002")</f>
        <v>A-05-01-01-002-003/a-05-01-01-002-002</v>
      </c>
      <c r="O17" s="5" t="s">
        <v>31</v>
      </c>
      <c r="P17" s="5" t="str">
        <f ca="1">IFERROR(__xludf.DUMMYFUNCTION("""COMPUTED_VALUE"""),"26")</f>
        <v>26</v>
      </c>
      <c r="Q17" s="5" t="str">
        <f ca="1">IFERROR(__xludf.DUMMYFUNCTION("""COMPUTED_VALUE"""),"PROPIOS")</f>
        <v>PROPIOS</v>
      </c>
      <c r="R17" s="5" t="str">
        <f ca="1">IFERROR(__xludf.DUMMYFUNCTION("""COMPUTED_VALUE"""),"CO1.PCCNTR.4840234")</f>
        <v>CO1.PCCNTR.4840234</v>
      </c>
      <c r="S17" s="14" t="str">
        <f ca="1">IFERROR(__xludf.DUMMYFUNCTION("""COMPUTED_VALUE"""),"https://community.secop.gov.co/Public/Tendering/OpportunityDetail/Index?noticeUID=CO1.NTC.4237665&amp;isFromPublicArea=True&amp;isModal=False")</f>
        <v>https://community.secop.gov.co/Public/Tendering/OpportunityDetail/Index?noticeUID=CO1.NTC.4237665&amp;isFromPublicArea=True&amp;isModal=False</v>
      </c>
      <c r="T17" s="5" t="s">
        <v>0</v>
      </c>
    </row>
    <row r="18" spans="1:20" ht="15.75" customHeight="1">
      <c r="A18" s="5" t="str">
        <f ca="1">IFERROR(__xludf.DUMMYFUNCTION("""COMPUTED_VALUE"""),"215 PASTO")</f>
        <v>215 PASTO</v>
      </c>
      <c r="B18" s="5" t="str">
        <f ca="1">IFERROR(__xludf.DUMMYFUNCTION("""COMPUTED_VALUE"""),"MC 013-2023 ")</f>
        <v xml:space="preserve">MC 013-2023 </v>
      </c>
      <c r="C18" s="5" t="str">
        <f ca="1">IFERROR(__xludf.DUMMYFUNCTION("""COMPUTED_VALUE"""),"MÍNIMA CUANTÍA")</f>
        <v>MÍNIMA CUANTÍA</v>
      </c>
      <c r="D18" s="5" t="str">
        <f ca="1">IFERROR(__xludf.DUMMYFUNCTION("""COMPUTED_VALUE"""),"SUMINISTRO")</f>
        <v>SUMINISTRO</v>
      </c>
      <c r="E18" s="5" t="str">
        <f ca="1">IFERROR(__xludf.DUMMYFUNCTION("""COMPUTED_VALUE"""),"SUPERMERCADOS TIGRE DE LA REBAJA SAS.")</f>
        <v>SUPERMERCADOS TIGRE DE LA REBAJA SAS.</v>
      </c>
      <c r="F18" s="5" t="str">
        <f ca="1">IFERROR(__xludf.DUMMYFUNCTION("""COMPUTED_VALUE"""),"Contratar el suministro de enlatados y conservas para la comercialización a personas privadas de la libertad través del expendio de la cárcel y penitenciaria de media seguridad con reclusión mujeres Pasto INPEC")</f>
        <v>Contratar el suministro de enlatados y conservas para la comercialización a personas privadas de la libertad través del expendio de la cárcel y penitenciaria de media seguridad con reclusión mujeres Pasto INPEC</v>
      </c>
      <c r="G18" s="12" t="s">
        <v>34</v>
      </c>
      <c r="H18" s="5">
        <v>0</v>
      </c>
      <c r="I18" s="11">
        <f t="shared" si="0"/>
        <v>11999472</v>
      </c>
      <c r="J18" s="6">
        <f ca="1">IFERROR(__xludf.DUMMYFUNCTION("""COMPUTED_VALUE"""),41368)</f>
        <v>41368</v>
      </c>
      <c r="K18" s="6">
        <f ca="1">IFERROR(__xludf.DUMMYFUNCTION("""COMPUTED_VALUE"""),45029)</f>
        <v>45029</v>
      </c>
      <c r="L18" s="5" t="s">
        <v>0</v>
      </c>
      <c r="M18" s="6">
        <f ca="1">IFERROR(__xludf.DUMMYFUNCTION("""COMPUTED_VALUE"""),45291)</f>
        <v>45291</v>
      </c>
      <c r="N18" s="5" t="str">
        <f ca="1">IFERROR(__xludf.DUMMYFUNCTION("""COMPUTED_VALUE"""),"A-05-01-01-002-001")</f>
        <v>A-05-01-01-002-001</v>
      </c>
      <c r="O18" s="5" t="s">
        <v>33</v>
      </c>
      <c r="P18" s="5" t="str">
        <f ca="1">IFERROR(__xludf.DUMMYFUNCTION("""COMPUTED_VALUE"""),"26")</f>
        <v>26</v>
      </c>
      <c r="Q18" s="5" t="str">
        <f ca="1">IFERROR(__xludf.DUMMYFUNCTION("""COMPUTED_VALUE"""),"PROPIOS")</f>
        <v>PROPIOS</v>
      </c>
      <c r="R18" s="5" t="str">
        <f ca="1">IFERROR(__xludf.DUMMYFUNCTION("""COMPUTED_VALUE"""),"CO1.PCCNTR.4840886")</f>
        <v>CO1.PCCNTR.4840886</v>
      </c>
      <c r="S18" s="14" t="str">
        <f ca="1">IFERROR(__xludf.DUMMYFUNCTION("""COMPUTED_VALUE"""),"https://community.secop.gov.co/Public/Tendering/OpportunityDetail/Index?noticeUID=CO1.NTC.4242516&amp;isFromPublicArea=True&amp;isModal=False")</f>
        <v>https://community.secop.gov.co/Public/Tendering/OpportunityDetail/Index?noticeUID=CO1.NTC.4242516&amp;isFromPublicArea=True&amp;isModal=False</v>
      </c>
      <c r="T18" s="5" t="s">
        <v>0</v>
      </c>
    </row>
    <row r="19" spans="1:20" ht="15.75" customHeight="1">
      <c r="A19" s="5" t="str">
        <f ca="1">IFERROR(__xludf.DUMMYFUNCTION("""COMPUTED_VALUE"""),"215 PASTO")</f>
        <v>215 PASTO</v>
      </c>
      <c r="B19" s="5" t="str">
        <f ca="1">IFERROR(__xludf.DUMMYFUNCTION("""COMPUTED_VALUE"""),"MC 014-2023 ")</f>
        <v xml:space="preserve">MC 014-2023 </v>
      </c>
      <c r="C19" s="5" t="str">
        <f ca="1">IFERROR(__xludf.DUMMYFUNCTION("""COMPUTED_VALUE"""),"MÍNIMA CUANTÍA")</f>
        <v>MÍNIMA CUANTÍA</v>
      </c>
      <c r="D19" s="5" t="str">
        <f ca="1">IFERROR(__xludf.DUMMYFUNCTION("""COMPUTED_VALUE"""),"SUMINISTRO")</f>
        <v>SUMINISTRO</v>
      </c>
      <c r="E19" s="5" t="str">
        <f ca="1">IFERROR(__xludf.DUMMYFUNCTION("""COMPUTED_VALUE"""),"MAZU SERVICIOS INTEGRALES SAS.")</f>
        <v>MAZU SERVICIOS INTEGRALES SAS.</v>
      </c>
      <c r="F19" s="5" t="str">
        <f ca="1">IFERROR(__xludf.DUMMYFUNCTION("""COMPUTED_VALUE"""),"Contratar suministro de aceites, grasas y productos plásticos para el proyecto productivo de panadería de la cárcel y penitenciaria de media seguridad y reclusión de mujeres de Pasto INPEC")</f>
        <v>Contratar suministro de aceites, grasas y productos plásticos para el proyecto productivo de panadería de la cárcel y penitenciaria de media seguridad y reclusión de mujeres de Pasto INPEC</v>
      </c>
      <c r="G19" s="11">
        <f ca="1">IFERROR(__xludf.DUMMYFUNCTION("""COMPUTED_VALUE"""),34333000)</f>
        <v>34333000</v>
      </c>
      <c r="H19" s="5">
        <v>0</v>
      </c>
      <c r="I19" s="11">
        <f t="shared" ca="1" si="0"/>
        <v>34333000</v>
      </c>
      <c r="J19" s="6">
        <f ca="1">IFERROR(__xludf.DUMMYFUNCTION("""COMPUTED_VALUE"""),45028)</f>
        <v>45028</v>
      </c>
      <c r="K19" s="6">
        <f ca="1">IFERROR(__xludf.DUMMYFUNCTION("""COMPUTED_VALUE"""),45033)</f>
        <v>45033</v>
      </c>
      <c r="L19" s="5" t="s">
        <v>0</v>
      </c>
      <c r="M19" s="6">
        <f ca="1">IFERROR(__xludf.DUMMYFUNCTION("""COMPUTED_VALUE"""),45291)</f>
        <v>45291</v>
      </c>
      <c r="N19" s="5" t="str">
        <f ca="1">IFERROR(__xludf.DUMMYFUNCTION("""COMPUTED_VALUE"""),"A-05-01-01-002-001/A-05-01-01-002-006")</f>
        <v>A-05-01-01-002-001/A-05-01-01-002-006</v>
      </c>
      <c r="O19" s="5" t="s">
        <v>32</v>
      </c>
      <c r="P19" s="5" t="str">
        <f ca="1">IFERROR(__xludf.DUMMYFUNCTION("""COMPUTED_VALUE"""),"26")</f>
        <v>26</v>
      </c>
      <c r="Q19" s="5" t="str">
        <f ca="1">IFERROR(__xludf.DUMMYFUNCTION("""COMPUTED_VALUE"""),"PROPIOS")</f>
        <v>PROPIOS</v>
      </c>
      <c r="R19" s="5" t="str">
        <f ca="1">IFERROR(__xludf.DUMMYFUNCTION("""COMPUTED_VALUE"""),"CO1.PCCNTR.4858595")</f>
        <v>CO1.PCCNTR.4858595</v>
      </c>
      <c r="S19" s="14" t="str">
        <f ca="1">IFERROR(__xludf.DUMMYFUNCTION("""COMPUTED_VALUE"""),"https://community.secop.gov.co/Public/Tendering/OpportunityDetail/Index?noticeUID=CO1.NTC.4257399&amp;isFromPublicArea=True&amp;isModal=False")</f>
        <v>https://community.secop.gov.co/Public/Tendering/OpportunityDetail/Index?noticeUID=CO1.NTC.4257399&amp;isFromPublicArea=True&amp;isModal=False</v>
      </c>
      <c r="T19" s="5" t="s">
        <v>0</v>
      </c>
    </row>
    <row r="20" spans="1:20" ht="15.75" customHeight="1">
      <c r="A20" s="5" t="str">
        <f ca="1">IFERROR(__xludf.DUMMYFUNCTION("""COMPUTED_VALUE"""),"215 PASTO")</f>
        <v>215 PASTO</v>
      </c>
      <c r="B20" s="5" t="str">
        <f ca="1">IFERROR(__xludf.DUMMYFUNCTION("""COMPUTED_VALUE"""),"MC 015-2023 ")</f>
        <v xml:space="preserve">MC 015-2023 </v>
      </c>
      <c r="C20" s="5" t="str">
        <f ca="1">IFERROR(__xludf.DUMMYFUNCTION("""COMPUTED_VALUE"""),"MÍNIMA CUANTÍA")</f>
        <v>MÍNIMA CUANTÍA</v>
      </c>
      <c r="D20" s="5" t="str">
        <f ca="1">IFERROR(__xludf.DUMMYFUNCTION("""COMPUTED_VALUE"""),"SUMINISTRO")</f>
        <v>SUMINISTRO</v>
      </c>
      <c r="E20" s="5" t="str">
        <f ca="1">IFERROR(__xludf.DUMMYFUNCTION("""COMPUTED_VALUE"""),"EQUILIBRIUM PROYECTOS SAS")</f>
        <v>EQUILIBRIUM PROYECTOS SAS</v>
      </c>
      <c r="F20" s="5" t="str">
        <f ca="1">IFERROR(__xludf.DUMMYFUNCTION("""COMPUTED_VALUE"""),"Contratar el suministro de Semillas y abonos y fungicidas para el Proyecto Productivo de Cultivos de la Cárcel y Penitenciaria de Media Seguridad con Reclusión de Mujeres de Pasto")</f>
        <v>Contratar el suministro de Semillas y abonos y fungicidas para el Proyecto Productivo de Cultivos de la Cárcel y Penitenciaria de Media Seguridad con Reclusión de Mujeres de Pasto</v>
      </c>
      <c r="G20" s="11">
        <f ca="1">IFERROR(__xludf.DUMMYFUNCTION("""COMPUTED_VALUE"""),2258880)</f>
        <v>2258880</v>
      </c>
      <c r="H20" s="5">
        <v>0</v>
      </c>
      <c r="I20" s="11">
        <f t="shared" ca="1" si="0"/>
        <v>2258880</v>
      </c>
      <c r="J20" s="6">
        <f ca="1">IFERROR(__xludf.DUMMYFUNCTION("""COMPUTED_VALUE"""),45037)</f>
        <v>45037</v>
      </c>
      <c r="K20" s="6">
        <f ca="1">IFERROR(__xludf.DUMMYFUNCTION("""COMPUTED_VALUE"""),45041)</f>
        <v>45041</v>
      </c>
      <c r="L20" s="5" t="s">
        <v>0</v>
      </c>
      <c r="M20" s="6">
        <f ca="1">IFERROR(__xludf.DUMMYFUNCTION("""COMPUTED_VALUE"""),45291)</f>
        <v>45291</v>
      </c>
      <c r="N20" s="5" t="str">
        <f ca="1">IFERROR(__xludf.DUMMYFUNCTION("""COMPUTED_VALUE"""),"A-05-01-01-000-001")</f>
        <v>A-05-01-01-000-001</v>
      </c>
      <c r="O20" s="5" t="s">
        <v>31</v>
      </c>
      <c r="P20" s="5" t="str">
        <f ca="1">IFERROR(__xludf.DUMMYFUNCTION("""COMPUTED_VALUE"""),"26")</f>
        <v>26</v>
      </c>
      <c r="Q20" s="5" t="str">
        <f ca="1">IFERROR(__xludf.DUMMYFUNCTION("""COMPUTED_VALUE"""),"PROPIOS")</f>
        <v>PROPIOS</v>
      </c>
      <c r="R20" s="5" t="str">
        <f ca="1">IFERROR(__xludf.DUMMYFUNCTION("""COMPUTED_VALUE"""),"CO1.PCCNTR.4890212")</f>
        <v>CO1.PCCNTR.4890212</v>
      </c>
      <c r="S20" s="14" t="str">
        <f ca="1">IFERROR(__xludf.DUMMYFUNCTION("""COMPUTED_VALUE"""),"https://community.secop.gov.co/Public/Tendering/OpportunityDetail/Index?noticeUID=CO1.NTC.4311638&amp;isFromPublicArea=True&amp;isModal=False")</f>
        <v>https://community.secop.gov.co/Public/Tendering/OpportunityDetail/Index?noticeUID=CO1.NTC.4311638&amp;isFromPublicArea=True&amp;isModal=False</v>
      </c>
      <c r="T20" s="5" t="s">
        <v>0</v>
      </c>
    </row>
    <row r="21" spans="1:20" ht="15.75" customHeight="1">
      <c r="A21" s="5" t="str">
        <f ca="1">IFERROR(__xludf.DUMMYFUNCTION("""COMPUTED_VALUE"""),"217 IPIALES")</f>
        <v>217 IPIALES</v>
      </c>
      <c r="B21" s="5" t="str">
        <f ca="1">IFERROR(__xludf.DUMMYFUNCTION("""COMPUTED_VALUE"""),"004-2023")</f>
        <v>004-2023</v>
      </c>
      <c r="C21" s="5" t="str">
        <f ca="1">IFERROR(__xludf.DUMMYFUNCTION("""COMPUTED_VALUE"""),"MÍNIMA CUANTÍA")</f>
        <v>MÍNIMA CUANTÍA</v>
      </c>
      <c r="D21" s="5" t="str">
        <f ca="1">IFERROR(__xludf.DUMMYFUNCTION("""COMPUTED_VALUE"""),"PRESTACIÓN DE SERVICIOS")</f>
        <v>PRESTACIÓN DE SERVICIOS</v>
      </c>
      <c r="E21" s="5" t="str">
        <f ca="1">IFERROR(__xludf.DUMMYFUNCTION("""COMPUTED_VALUE"""),"CENTRO AGROPECUARIO DE NARIÑO")</f>
        <v>CENTRO AGROPECUARIO DE NARIÑO</v>
      </c>
      <c r="F21" s="5" t="str">
        <f ca="1">IFERROR(__xludf.DUMMYFUNCTION("""COMPUTED_VALUE"""),"SUMINISTRO DE ALIMENTO, MATERIAL VETERINARIO Y ATENCION MEDICA PARA CANINOS QUE PERTENECEN AL ESTABLECIMIENTO PENITENCIARIO Y CARCELARIO DE MEDIA SEGURIAD DE IPIALES")</f>
        <v>SUMINISTRO DE ALIMENTO, MATERIAL VETERINARIO Y ATENCION MEDICA PARA CANINOS QUE PERTENECEN AL ESTABLECIMIENTO PENITENCIARIO Y CARCELARIO DE MEDIA SEGURIAD DE IPIALES</v>
      </c>
      <c r="G21" s="11">
        <f ca="1">IFERROR(__xludf.DUMMYFUNCTION("""COMPUTED_VALUE"""),14116700)</f>
        <v>14116700</v>
      </c>
      <c r="H21" s="5">
        <v>0</v>
      </c>
      <c r="I21" s="11">
        <f t="shared" ca="1" si="0"/>
        <v>14116700</v>
      </c>
      <c r="J21" s="6">
        <f ca="1">IFERROR(__xludf.DUMMYFUNCTION("""COMPUTED_VALUE"""),45020)</f>
        <v>45020</v>
      </c>
      <c r="K21" s="6">
        <f ca="1">IFERROR(__xludf.DUMMYFUNCTION("""COMPUTED_VALUE"""),45020)</f>
        <v>45020</v>
      </c>
      <c r="L21" s="5" t="s">
        <v>0</v>
      </c>
      <c r="M21" s="6">
        <f ca="1">IFERROR(__xludf.DUMMYFUNCTION("""COMPUTED_VALUE"""),45282)</f>
        <v>45282</v>
      </c>
      <c r="N21" s="5" t="str">
        <f ca="1">IFERROR(__xludf.DUMMYFUNCTION("""COMPUTED_VALUE"""),"A-02-02-01-002-003")</f>
        <v>A-02-02-01-002-003</v>
      </c>
      <c r="O21" s="5" t="s">
        <v>29</v>
      </c>
      <c r="P21" s="5" t="str">
        <f ca="1">IFERROR(__xludf.DUMMYFUNCTION("""COMPUTED_VALUE"""),"10")</f>
        <v>10</v>
      </c>
      <c r="Q21" s="5" t="str">
        <f ca="1">IFERROR(__xludf.DUMMYFUNCTION("""COMPUTED_VALUE"""),"NACION")</f>
        <v>NACION</v>
      </c>
      <c r="R21" s="5" t="str">
        <f ca="1">IFERROR(__xludf.DUMMYFUNCTION("""COMPUTED_VALUE"""),"CO1.PCCNTR.4837047")</f>
        <v>CO1.PCCNTR.4837047</v>
      </c>
      <c r="S21" s="14" t="str">
        <f ca="1">IFERROR(__xludf.DUMMYFUNCTION("""COMPUTED_VALUE"""),"https://community.secop.gov.co/Public/Tendering/OpportunityDetail/Index?noticeUID=CO1.NTC.4241586&amp;isFromPublicArea=True&amp;isModal=False")</f>
        <v>https://community.secop.gov.co/Public/Tendering/OpportunityDetail/Index?noticeUID=CO1.NTC.4241586&amp;isFromPublicArea=True&amp;isModal=False</v>
      </c>
      <c r="T21" s="5" t="s">
        <v>0</v>
      </c>
    </row>
    <row r="22" spans="1:20" ht="15.75" customHeight="1">
      <c r="A22" s="5" t="str">
        <f ca="1">IFERROR(__xludf.DUMMYFUNCTION("""COMPUTED_VALUE"""),"217 IPIALES")</f>
        <v>217 IPIALES</v>
      </c>
      <c r="B22" s="5" t="str">
        <f ca="1">IFERROR(__xludf.DUMMYFUNCTION("""COMPUTED_VALUE"""),"107658")</f>
        <v>107658</v>
      </c>
      <c r="C22" s="5" t="str">
        <f ca="1">IFERROR(__xludf.DUMMYFUNCTION("""COMPUTED_VALUE"""),"GRANDES SUPERFICIES")</f>
        <v>GRANDES SUPERFICIES</v>
      </c>
      <c r="D22" s="5" t="str">
        <f ca="1">IFERROR(__xludf.DUMMYFUNCTION("""COMPUTED_VALUE"""),"COMPRAVENTA")</f>
        <v>COMPRAVENTA</v>
      </c>
      <c r="E22" s="5" t="str">
        <f ca="1">IFERROR(__xludf.DUMMYFUNCTION("""COMPUTED_VALUE"""),"PANAMERICANA LIBRERÍA Y PAPELERÍA S.A.")</f>
        <v>PANAMERICANA LIBRERÍA Y PAPELERÍA S.A.</v>
      </c>
      <c r="F22" s="5" t="str">
        <f ca="1">IFERROR(__xludf.DUMMYFUNCTION("""COMPUTED_VALUE"""),"COMPRA DE ÚTILES DE OFICINA Y ELEMENTOS DE TRABAJO NECESARIOS PARA EL BUEN FUNCIONAMIENTO DE LAS OFICINAS ADMINISTRATIVAS Y DEL CUERPO DE CUSTODIA Y VIGILANCIA DE LA CPMS IPIALES.")</f>
        <v>COMPRA DE ÚTILES DE OFICINA Y ELEMENTOS DE TRABAJO NECESARIOS PARA EL BUEN FUNCIONAMIENTO DE LAS OFICINAS ADMINISTRATIVAS Y DEL CUERPO DE CUSTODIA Y VIGILANCIA DE LA CPMS IPIALES.</v>
      </c>
      <c r="G22" s="11">
        <f ca="1">IFERROR(__xludf.DUMMYFUNCTION("""COMPUTED_VALUE"""),5042336)</f>
        <v>5042336</v>
      </c>
      <c r="H22" s="5">
        <v>0</v>
      </c>
      <c r="I22" s="11">
        <f t="shared" ca="1" si="0"/>
        <v>5042336</v>
      </c>
      <c r="J22" s="6">
        <f ca="1">IFERROR(__xludf.DUMMYFUNCTION("""COMPUTED_VALUE"""),45029)</f>
        <v>45029</v>
      </c>
      <c r="K22" s="6">
        <f ca="1">IFERROR(__xludf.DUMMYFUNCTION("""COMPUTED_VALUE"""),45029)</f>
        <v>45029</v>
      </c>
      <c r="L22" s="5" t="s">
        <v>0</v>
      </c>
      <c r="M22" s="6">
        <f ca="1">IFERROR(__xludf.DUMMYFUNCTION("""COMPUTED_VALUE"""),45048)</f>
        <v>45048</v>
      </c>
      <c r="N22" s="5" t="str">
        <f ca="1">IFERROR(__xludf.DUMMYFUNCTION("""COMPUTED_VALUE"""),"A-02-02-01-004-002")</f>
        <v>A-02-02-01-004-002</v>
      </c>
      <c r="O22" s="5" t="s">
        <v>10</v>
      </c>
      <c r="P22" s="5" t="str">
        <f ca="1">IFERROR(__xludf.DUMMYFUNCTION("""COMPUTED_VALUE"""),"10")</f>
        <v>10</v>
      </c>
      <c r="Q22" s="5" t="str">
        <f ca="1">IFERROR(__xludf.DUMMYFUNCTION("""COMPUTED_VALUE"""),"NACION")</f>
        <v>NACION</v>
      </c>
      <c r="R22" s="5" t="str">
        <f ca="1">IFERROR(__xludf.DUMMYFUNCTION("""COMPUTED_VALUE"""),"107658")</f>
        <v>107658</v>
      </c>
      <c r="S22" s="14" t="str">
        <f ca="1">IFERROR(__xludf.DUMMYFUNCTION("""COMPUTED_VALUE"""),"https://www.colombiacompra.gov.co/tienda-virtual-del-estado-colombiano/ordenes-compra/107658")</f>
        <v>https://www.colombiacompra.gov.co/tienda-virtual-del-estado-colombiano/ordenes-compra/107658</v>
      </c>
      <c r="T22" s="5" t="s">
        <v>0</v>
      </c>
    </row>
    <row r="23" spans="1:20" ht="15.75" customHeight="1">
      <c r="A23" s="5" t="str">
        <f ca="1">IFERROR(__xludf.DUMMYFUNCTION("""COMPUTED_VALUE"""),"217 IPIALES")</f>
        <v>217 IPIALES</v>
      </c>
      <c r="B23" s="5" t="str">
        <f ca="1">IFERROR(__xludf.DUMMYFUNCTION("""COMPUTED_VALUE"""),"107690")</f>
        <v>107690</v>
      </c>
      <c r="C23" s="5" t="str">
        <f ca="1">IFERROR(__xludf.DUMMYFUNCTION("""COMPUTED_VALUE"""),"GRANDES SUPERFICIES")</f>
        <v>GRANDES SUPERFICIES</v>
      </c>
      <c r="D23" s="5" t="str">
        <f ca="1">IFERROR(__xludf.DUMMYFUNCTION("""COMPUTED_VALUE"""),"COMPRAVENTA")</f>
        <v>COMPRAVENTA</v>
      </c>
      <c r="E23" s="5" t="str">
        <f ca="1">IFERROR(__xludf.DUMMYFUNCTION("""COMPUTED_VALUE"""),"PANAMERICANA LIBRERÍA Y PAPELERÍA S.A.")</f>
        <v>PANAMERICANA LIBRERÍA Y PAPELERÍA S.A.</v>
      </c>
      <c r="F23" s="5" t="str">
        <f ca="1">IFERROR(__xludf.DUMMYFUNCTION("""COMPUTED_VALUE"""),"COMPRA DE MATERIAL DIDÁCTICO E INSUMOS PARA EL PROGRAMA DE EDUCACIÓN FORMAL E INFORMAL DIRIGIDO A LA POBLACIÓN PRIVADA DE LA LIBERTAD DE LA CPMS IPIALES")</f>
        <v>COMPRA DE MATERIAL DIDÁCTICO E INSUMOS PARA EL PROGRAMA DE EDUCACIÓN FORMAL E INFORMAL DIRIGIDO A LA POBLACIÓN PRIVADA DE LA LIBERTAD DE LA CPMS IPIALES</v>
      </c>
      <c r="G23" s="11">
        <f ca="1">IFERROR(__xludf.DUMMYFUNCTION("""COMPUTED_VALUE"""),9999950)</f>
        <v>9999950</v>
      </c>
      <c r="H23" s="5">
        <v>0</v>
      </c>
      <c r="I23" s="11">
        <f t="shared" ca="1" si="0"/>
        <v>9999950</v>
      </c>
      <c r="J23" s="6">
        <f ca="1">IFERROR(__xludf.DUMMYFUNCTION("""COMPUTED_VALUE"""),45030)</f>
        <v>45030</v>
      </c>
      <c r="K23" s="6">
        <f ca="1">IFERROR(__xludf.DUMMYFUNCTION("""COMPUTED_VALUE"""),45030)</f>
        <v>45030</v>
      </c>
      <c r="L23" s="5" t="s">
        <v>0</v>
      </c>
      <c r="M23" s="6">
        <f ca="1">IFERROR(__xludf.DUMMYFUNCTION("""COMPUTED_VALUE"""),45072)</f>
        <v>45072</v>
      </c>
      <c r="N23" s="5" t="str">
        <f ca="1">IFERROR(__xludf.DUMMYFUNCTION("""COMPUTED_VALUE"""),"A-03-03-01-017")</f>
        <v>A-03-03-01-017</v>
      </c>
      <c r="O23" s="5" t="s">
        <v>10</v>
      </c>
      <c r="P23" s="5" t="str">
        <f ca="1">IFERROR(__xludf.DUMMYFUNCTION("""COMPUTED_VALUE"""),"10")</f>
        <v>10</v>
      </c>
      <c r="Q23" s="5" t="str">
        <f ca="1">IFERROR(__xludf.DUMMYFUNCTION("""COMPUTED_VALUE"""),"NACION")</f>
        <v>NACION</v>
      </c>
      <c r="R23" s="5" t="str">
        <f ca="1">IFERROR(__xludf.DUMMYFUNCTION("""COMPUTED_VALUE"""),"107690")</f>
        <v>107690</v>
      </c>
      <c r="S23" s="14" t="str">
        <f ca="1">IFERROR(__xludf.DUMMYFUNCTION("""COMPUTED_VALUE"""),"https://www.colombiacompra.gov.co/tienda-virtual-del-estado-colombiano/ordenes-compra/107690")</f>
        <v>https://www.colombiacompra.gov.co/tienda-virtual-del-estado-colombiano/ordenes-compra/107690</v>
      </c>
      <c r="T23" s="5" t="s">
        <v>0</v>
      </c>
    </row>
    <row r="24" spans="1:20" ht="15.75" customHeight="1">
      <c r="A24" s="5" t="str">
        <f ca="1">IFERROR(__xludf.DUMMYFUNCTION("""COMPUTED_VALUE"""),"217 IPIALES")</f>
        <v>217 IPIALES</v>
      </c>
      <c r="B24" s="5" t="str">
        <f ca="1">IFERROR(__xludf.DUMMYFUNCTION("""COMPUTED_VALUE"""),"107922")</f>
        <v>107922</v>
      </c>
      <c r="C24" s="5" t="str">
        <f ca="1">IFERROR(__xludf.DUMMYFUNCTION("""COMPUTED_VALUE"""),"GRANDES SUPERFICIES")</f>
        <v>GRANDES SUPERFICIES</v>
      </c>
      <c r="D24" s="5" t="str">
        <f ca="1">IFERROR(__xludf.DUMMYFUNCTION("""COMPUTED_VALUE"""),"COMPRAVENTA")</f>
        <v>COMPRAVENTA</v>
      </c>
      <c r="E24" s="5" t="str">
        <f ca="1">IFERROR(__xludf.DUMMYFUNCTION("""COMPUTED_VALUE"""),"POLYFLEX")</f>
        <v>POLYFLEX</v>
      </c>
      <c r="F24" s="5" t="str">
        <f ca="1">IFERROR(__xludf.DUMMYFUNCTION("""COMPUTED_VALUE"""),"ADQUISICION DE ELEMENTOS DE CAMA: COLCHONETAS, COBIJAS, SABANAS, PARA LA POBLACION PRIVADA DE LA LIBERTAD DE LA CPMS IPIALES")</f>
        <v>ADQUISICION DE ELEMENTOS DE CAMA: COLCHONETAS, COBIJAS, SABANAS, PARA LA POBLACION PRIVADA DE LA LIBERTAD DE LA CPMS IPIALES</v>
      </c>
      <c r="G24" s="11">
        <f ca="1">IFERROR(__xludf.DUMMYFUNCTION("""COMPUTED_VALUE"""),56202100)</f>
        <v>56202100</v>
      </c>
      <c r="H24" s="5">
        <v>0</v>
      </c>
      <c r="I24" s="11">
        <f t="shared" ca="1" si="0"/>
        <v>56202100</v>
      </c>
      <c r="J24" s="6">
        <f ca="1">IFERROR(__xludf.DUMMYFUNCTION("""COMPUTED_VALUE"""),45034)</f>
        <v>45034</v>
      </c>
      <c r="K24" s="6">
        <f ca="1">IFERROR(__xludf.DUMMYFUNCTION("""COMPUTED_VALUE"""),45034)</f>
        <v>45034</v>
      </c>
      <c r="L24" s="5" t="s">
        <v>0</v>
      </c>
      <c r="M24" s="6">
        <f ca="1">IFERROR(__xludf.DUMMYFUNCTION("""COMPUTED_VALUE"""),45086)</f>
        <v>45086</v>
      </c>
      <c r="N24" s="5" t="str">
        <f ca="1">IFERROR(__xludf.DUMMYFUNCTION("""COMPUTED_VALUE"""),"A-03-03-01-017")</f>
        <v>A-03-03-01-017</v>
      </c>
      <c r="O24" s="5" t="s">
        <v>6</v>
      </c>
      <c r="P24" s="5" t="str">
        <f ca="1">IFERROR(__xludf.DUMMYFUNCTION("""COMPUTED_VALUE"""),"10")</f>
        <v>10</v>
      </c>
      <c r="Q24" s="5" t="str">
        <f ca="1">IFERROR(__xludf.DUMMYFUNCTION("""COMPUTED_VALUE"""),"NACION")</f>
        <v>NACION</v>
      </c>
      <c r="R24" s="5" t="str">
        <f ca="1">IFERROR(__xludf.DUMMYFUNCTION("""COMPUTED_VALUE"""),"107922")</f>
        <v>107922</v>
      </c>
      <c r="S24" s="14" t="str">
        <f ca="1">IFERROR(__xludf.DUMMYFUNCTION("""COMPUTED_VALUE"""),"https://www.colombiacompra.gov.co/tienda-virtual-del-estado-colombiano/ordenes-compra/107922")</f>
        <v>https://www.colombiacompra.gov.co/tienda-virtual-del-estado-colombiano/ordenes-compra/107922</v>
      </c>
      <c r="T24" s="5" t="s">
        <v>0</v>
      </c>
    </row>
    <row r="25" spans="1:20" ht="15.75" customHeight="1">
      <c r="A25" s="5" t="str">
        <f ca="1">IFERROR(__xludf.DUMMYFUNCTION("""COMPUTED_VALUE"""),"217 IPIALES")</f>
        <v>217 IPIALES</v>
      </c>
      <c r="B25" s="5" t="str">
        <f ca="1">IFERROR(__xludf.DUMMYFUNCTION("""COMPUTED_VALUE"""),"107923")</f>
        <v>107923</v>
      </c>
      <c r="C25" s="5" t="str">
        <f ca="1">IFERROR(__xludf.DUMMYFUNCTION("""COMPUTED_VALUE"""),"GRANDES SUPERFICIES")</f>
        <v>GRANDES SUPERFICIES</v>
      </c>
      <c r="D25" s="5" t="str">
        <f ca="1">IFERROR(__xludf.DUMMYFUNCTION("""COMPUTED_VALUE"""),"COMPRAVENTA")</f>
        <v>COMPRAVENTA</v>
      </c>
      <c r="E25" s="5" t="str">
        <f ca="1">IFERROR(__xludf.DUMMYFUNCTION("""COMPUTED_VALUE"""),"PANAMERICANA LIBRERÍA Y PAPELERÍA S.A.")</f>
        <v>PANAMERICANA LIBRERÍA Y PAPELERÍA S.A.</v>
      </c>
      <c r="F25" s="5" t="str">
        <f ca="1">IFERROR(__xludf.DUMMYFUNCTION("""COMPUTED_VALUE"""),"ADQUISICION DE PAPELERIA, UTILES DE ESCRITORIO, TONERS, MATERIAL DIDACTICO, MOBILIARIO DE OFICINA, EQUIPOS TECNOLOGICOS PARA PROGRAMAS PSICOSOCIALES CON FINES DE TRATAMIENTO PENITENCIARIO DE LA CPMS IPIALES")</f>
        <v>ADQUISICION DE PAPELERIA, UTILES DE ESCRITORIO, TONERS, MATERIAL DIDACTICO, MOBILIARIO DE OFICINA, EQUIPOS TECNOLOGICOS PARA PROGRAMAS PSICOSOCIALES CON FINES DE TRATAMIENTO PENITENCIARIO DE LA CPMS IPIALES</v>
      </c>
      <c r="G25" s="11">
        <f ca="1">IFERROR(__xludf.DUMMYFUNCTION("""COMPUTED_VALUE"""),7499913)</f>
        <v>7499913</v>
      </c>
      <c r="H25" s="5">
        <v>0</v>
      </c>
      <c r="I25" s="11">
        <f t="shared" ca="1" si="0"/>
        <v>7499913</v>
      </c>
      <c r="J25" s="6">
        <f ca="1">IFERROR(__xludf.DUMMYFUNCTION("""COMPUTED_VALUE"""),45034)</f>
        <v>45034</v>
      </c>
      <c r="K25" s="6">
        <f ca="1">IFERROR(__xludf.DUMMYFUNCTION("""COMPUTED_VALUE"""),45034)</f>
        <v>45034</v>
      </c>
      <c r="L25" s="5" t="s">
        <v>0</v>
      </c>
      <c r="M25" s="6">
        <f ca="1">IFERROR(__xludf.DUMMYFUNCTION("""COMPUTED_VALUE"""),45058)</f>
        <v>45058</v>
      </c>
      <c r="N25" s="5" t="str">
        <f ca="1">IFERROR(__xludf.DUMMYFUNCTION("""COMPUTED_VALUE"""),"A-03-03-01-018")</f>
        <v>A-03-03-01-018</v>
      </c>
      <c r="O25" s="5" t="s">
        <v>10</v>
      </c>
      <c r="P25" s="5" t="str">
        <f ca="1">IFERROR(__xludf.DUMMYFUNCTION("""COMPUTED_VALUE"""),"10")</f>
        <v>10</v>
      </c>
      <c r="Q25" s="5" t="str">
        <f ca="1">IFERROR(__xludf.DUMMYFUNCTION("""COMPUTED_VALUE"""),"NACION")</f>
        <v>NACION</v>
      </c>
      <c r="R25" s="5" t="str">
        <f ca="1">IFERROR(__xludf.DUMMYFUNCTION("""COMPUTED_VALUE"""),"107923")</f>
        <v>107923</v>
      </c>
      <c r="S25" s="14" t="str">
        <f ca="1">IFERROR(__xludf.DUMMYFUNCTION("""COMPUTED_VALUE"""),"https://www.colombiacompra.gov.co/tienda-virtual-del-estado-colombiano/ordenes-compra/107923")</f>
        <v>https://www.colombiacompra.gov.co/tienda-virtual-del-estado-colombiano/ordenes-compra/107923</v>
      </c>
      <c r="T25" s="5" t="s">
        <v>0</v>
      </c>
    </row>
    <row r="26" spans="1:20" ht="15.75" customHeight="1">
      <c r="A26" s="5" t="str">
        <f ca="1">IFERROR(__xludf.DUMMYFUNCTION("""COMPUTED_VALUE"""),"219 LA UNION")</f>
        <v>219 LA UNION</v>
      </c>
      <c r="B26" s="5" t="str">
        <f ca="1">IFERROR(__xludf.DUMMYFUNCTION("""COMPUTED_VALUE"""),"107914")</f>
        <v>107914</v>
      </c>
      <c r="C26" s="5" t="str">
        <f ca="1">IFERROR(__xludf.DUMMYFUNCTION("""COMPUTED_VALUE"""),"MÍNIMA CUANTÍA")</f>
        <v>MÍNIMA CUANTÍA</v>
      </c>
      <c r="D26" s="5" t="str">
        <f ca="1">IFERROR(__xludf.DUMMYFUNCTION("""COMPUTED_VALUE"""),"COMPRAVENTA")</f>
        <v>COMPRAVENTA</v>
      </c>
      <c r="E26" s="5" t="str">
        <f ca="1">IFERROR(__xludf.DUMMYFUNCTION("""COMPUTED_VALUE"""),"PANAMERICANA LIBRERÍA Y PAPELERÍA S.A.")</f>
        <v>PANAMERICANA LIBRERÍA Y PAPELERÍA S.A.</v>
      </c>
      <c r="F26" s="5" t="str">
        <f ca="1">IFERROR(__xludf.DUMMYFUNCTION("""COMPUTED_VALUE"""),"ADQUISICIÓN DE ELEMENTOS PARA LA IMPLEMENTACIÓN Y DESARROLLO DEL SISTEMA INTEGRAL DE TRATAMIENTO PROGRESIVO Y PENITENCIARIO. Junta de Evaluación Trabajo Estudio y Enseñanza-JETTE, Consejo de Evaluación y Tratamiento - CET, Programas Psicosociales con fine"&amp;"s de Tratamiento Penitenciario. CON DESTINO A LAS ACTIVIDADES DE Las PPL DEL ESTABLECIMIENTO CARCELARIO DE LA UNIÓN, SEGÚN RES 000159 DEL 13-01-2023.")</f>
        <v>ADQUISICIÓN DE ELEMENTOS PARA LA IMPLEMENTACIÓN Y DESARROLLO DEL SISTEMA INTEGRAL DE TRATAMIENTO PROGRESIVO Y PENITENCIARIO. Junta de Evaluación Trabajo Estudio y Enseñanza-JETTE, Consejo de Evaluación y Tratamiento - CET, Programas Psicosociales con fines de Tratamiento Penitenciario. CON DESTINO A LAS ACTIVIDADES DE Las PPL DEL ESTABLECIMIENTO CARCELARIO DE LA UNIÓN, SEGÚN RES 000159 DEL 13-01-2023.</v>
      </c>
      <c r="G26" s="11">
        <f ca="1">IFERROR(__xludf.DUMMYFUNCTION("""COMPUTED_VALUE"""),6300000)</f>
        <v>6300000</v>
      </c>
      <c r="H26" s="5">
        <v>0</v>
      </c>
      <c r="I26" s="11">
        <f t="shared" ca="1" si="0"/>
        <v>6300000</v>
      </c>
      <c r="J26" s="6">
        <f ca="1">IFERROR(__xludf.DUMMYFUNCTION("""COMPUTED_VALUE"""),45034)</f>
        <v>45034</v>
      </c>
      <c r="K26" s="6">
        <f ca="1">IFERROR(__xludf.DUMMYFUNCTION("""COMPUTED_VALUE"""),45034)</f>
        <v>45034</v>
      </c>
      <c r="L26" s="5" t="s">
        <v>0</v>
      </c>
      <c r="M26" s="6">
        <f ca="1">IFERROR(__xludf.DUMMYFUNCTION("""COMPUTED_VALUE"""),45064)</f>
        <v>45064</v>
      </c>
      <c r="N26" s="5" t="str">
        <f ca="1">IFERROR(__xludf.DUMMYFUNCTION("""COMPUTED_VALUE"""),"A-03-03-01-018")</f>
        <v>A-03-03-01-018</v>
      </c>
      <c r="O26" s="5" t="s">
        <v>10</v>
      </c>
      <c r="P26" s="5" t="str">
        <f ca="1">IFERROR(__xludf.DUMMYFUNCTION("""COMPUTED_VALUE"""),"10")</f>
        <v>10</v>
      </c>
      <c r="Q26" s="5" t="str">
        <f ca="1">IFERROR(__xludf.DUMMYFUNCTION("""COMPUTED_VALUE"""),"NACION")</f>
        <v>NACION</v>
      </c>
      <c r="R26" s="5" t="str">
        <f ca="1">IFERROR(__xludf.DUMMYFUNCTION("""COMPUTED_VALUE"""),"107914")</f>
        <v>107914</v>
      </c>
      <c r="S26" s="15" t="s">
        <v>77</v>
      </c>
      <c r="T26" s="5" t="s">
        <v>0</v>
      </c>
    </row>
    <row r="27" spans="1:20" ht="15.75" customHeight="1">
      <c r="A27" s="5" t="str">
        <f ca="1">IFERROR(__xludf.DUMMYFUNCTION("""COMPUTED_VALUE"""),"219 LA UNION")</f>
        <v>219 LA UNION</v>
      </c>
      <c r="B27" s="5" t="str">
        <f ca="1">IFERROR(__xludf.DUMMYFUNCTION("""COMPUTED_VALUE"""),"107929")</f>
        <v>107929</v>
      </c>
      <c r="C27" s="5" t="str">
        <f ca="1">IFERROR(__xludf.DUMMYFUNCTION("""COMPUTED_VALUE"""),"MÍNIMA CUANTÍA")</f>
        <v>MÍNIMA CUANTÍA</v>
      </c>
      <c r="D27" s="5" t="str">
        <f ca="1">IFERROR(__xludf.DUMMYFUNCTION("""COMPUTED_VALUE"""),"COMPRAVENTA")</f>
        <v>COMPRAVENTA</v>
      </c>
      <c r="E27" s="5" t="str">
        <f ca="1">IFERROR(__xludf.DUMMYFUNCTION("""COMPUTED_VALUE"""),"PANAMERICANA LIBRERÍA Y PAPELERÍA S.A.")</f>
        <v>PANAMERICANA LIBRERÍA Y PAPELERÍA S.A.</v>
      </c>
      <c r="F27" s="5" t="str">
        <f ca="1">IFERROR(__xludf.DUMMYFUNCTION("""COMPUTED_VALUE"""),"ADQUISICIÓN DE ELEMENTOS PARA LA IMPLEMENTACION Y DESARROLLO DEL SISTEMA INTEGRAL DE TRATAMIENTO PROGRESIVO. Fortalecimiento del programa Delinquir No paga, CON DESTINO A LAS ACTIVIDADES DE LAS PPL DEL ESTABLECIMIENTO PENITENCIARIO DE MEDIANA SEGURIDAD Y "&amp;"CARCELARIO DE LA UNIÓN, SEGÚN RES 000160 DEL 13-01-2023.")</f>
        <v>ADQUISICIÓN DE ELEMENTOS PARA LA IMPLEMENTACION Y DESARROLLO DEL SISTEMA INTEGRAL DE TRATAMIENTO PROGRESIVO. Fortalecimiento del programa Delinquir No paga, CON DESTINO A LAS ACTIVIDADES DE LAS PPL DEL ESTABLECIMIENTO PENITENCIARIO DE MEDIANA SEGURIDAD Y CARCELARIO DE LA UNIÓN, SEGÚN RES 000160 DEL 13-01-2023.</v>
      </c>
      <c r="G27" s="11">
        <f ca="1">IFERROR(__xludf.DUMMYFUNCTION("""COMPUTED_VALUE"""),2000000)</f>
        <v>2000000</v>
      </c>
      <c r="H27" s="5">
        <v>0</v>
      </c>
      <c r="I27" s="11">
        <f t="shared" ca="1" si="0"/>
        <v>2000000</v>
      </c>
      <c r="J27" s="6">
        <f ca="1">IFERROR(__xludf.DUMMYFUNCTION("""COMPUTED_VALUE"""),45034)</f>
        <v>45034</v>
      </c>
      <c r="K27" s="6">
        <f ca="1">IFERROR(__xludf.DUMMYFUNCTION("""COMPUTED_VALUE"""),45034)</f>
        <v>45034</v>
      </c>
      <c r="L27" s="5" t="s">
        <v>0</v>
      </c>
      <c r="M27" s="6">
        <f ca="1">IFERROR(__xludf.DUMMYFUNCTION("""COMPUTED_VALUE"""),45064)</f>
        <v>45064</v>
      </c>
      <c r="N27" s="5" t="str">
        <f ca="1">IFERROR(__xludf.DUMMYFUNCTION("""COMPUTED_VALUE"""),"A-03-03-01-018")</f>
        <v>A-03-03-01-018</v>
      </c>
      <c r="O27" s="5" t="s">
        <v>10</v>
      </c>
      <c r="P27" s="5" t="str">
        <f ca="1">IFERROR(__xludf.DUMMYFUNCTION("""COMPUTED_VALUE"""),"10")</f>
        <v>10</v>
      </c>
      <c r="Q27" s="5" t="str">
        <f ca="1">IFERROR(__xludf.DUMMYFUNCTION("""COMPUTED_VALUE"""),"NACION")</f>
        <v>NACION</v>
      </c>
      <c r="R27" s="5" t="str">
        <f ca="1">IFERROR(__xludf.DUMMYFUNCTION("""COMPUTED_VALUE"""),"107929")</f>
        <v>107929</v>
      </c>
      <c r="S27" s="14" t="s">
        <v>78</v>
      </c>
      <c r="T27" s="5" t="s">
        <v>0</v>
      </c>
    </row>
    <row r="28" spans="1:20" ht="15.75" customHeight="1">
      <c r="A28" s="5" t="str">
        <f ca="1">IFERROR(__xludf.DUMMYFUNCTION("""COMPUTED_VALUE"""),"219 LA UNION")</f>
        <v>219 LA UNION</v>
      </c>
      <c r="B28" s="5" t="str">
        <f ca="1">IFERROR(__xludf.DUMMYFUNCTION("""COMPUTED_VALUE"""),"107939")</f>
        <v>107939</v>
      </c>
      <c r="C28" s="5" t="str">
        <f ca="1">IFERROR(__xludf.DUMMYFUNCTION("""COMPUTED_VALUE"""),"MÍNIMA CUANTÍA")</f>
        <v>MÍNIMA CUANTÍA</v>
      </c>
      <c r="D28" s="5" t="str">
        <f ca="1">IFERROR(__xludf.DUMMYFUNCTION("""COMPUTED_VALUE"""),"COMPRAVENTA")</f>
        <v>COMPRAVENTA</v>
      </c>
      <c r="E28" s="5" t="str">
        <f ca="1">IFERROR(__xludf.DUMMYFUNCTION("""COMPUTED_VALUE"""),"PANAMERICANA LIBRERÍA Y PAPELERÍA S.A.")</f>
        <v>PANAMERICANA LIBRERÍA Y PAPELERÍA S.A.</v>
      </c>
      <c r="F28" s="5" t="str">
        <f ca="1">IFERROR(__xludf.DUMMYFUNCTION("""COMPUTED_VALUE"""),"ADQUISICIÓN DE ARTÍCULOS DE DEPORTE, RECREACIÓN, CULTURA Y CONCURSO DE TEATRO, MÚSICA Y PINTURA, CON DESTINO AL FORTALECIMIENTO DE LOS PROGRAMAS DE CULTURA, DEPORTE Y RECREACIÓN FONDO DE REHABILITACIÓN, DE LAS PPL DEL ESTABLECIMIENTO PENITENCIARIO DE MEDI"&amp;"ANA SEGURIDAD Y CARCELARIO DE LA UNIÓN, SEGÚN RES 000577 DEL 31-01-2023.")</f>
        <v>ADQUISICIÓN DE ARTÍCULOS DE DEPORTE, RECREACIÓN, CULTURA Y CONCURSO DE TEATRO, MÚSICA Y PINTURA, CON DESTINO AL FORTALECIMIENTO DE LOS PROGRAMAS DE CULTURA, DEPORTE Y RECREACIÓN FONDO DE REHABILITACIÓN, DE LAS PPL DEL ESTABLECIMIENTO PENITENCIARIO DE MEDIANA SEGURIDAD Y CARCELARIO DE LA UNIÓN, SEGÚN RES 000577 DEL 31-01-2023.</v>
      </c>
      <c r="G28" s="11">
        <f ca="1">IFERROR(__xludf.DUMMYFUNCTION("""COMPUTED_VALUE"""),1950000)</f>
        <v>1950000</v>
      </c>
      <c r="H28" s="5">
        <v>0</v>
      </c>
      <c r="I28" s="11">
        <f t="shared" ca="1" si="0"/>
        <v>1950000</v>
      </c>
      <c r="J28" s="6">
        <f ca="1">IFERROR(__xludf.DUMMYFUNCTION("""COMPUTED_VALUE"""),45034)</f>
        <v>45034</v>
      </c>
      <c r="K28" s="6">
        <f ca="1">IFERROR(__xludf.DUMMYFUNCTION("""COMPUTED_VALUE"""),45034)</f>
        <v>45034</v>
      </c>
      <c r="L28" s="5" t="s">
        <v>0</v>
      </c>
      <c r="M28" s="6">
        <f ca="1">IFERROR(__xludf.DUMMYFUNCTION("""COMPUTED_VALUE"""),45064)</f>
        <v>45064</v>
      </c>
      <c r="N28" s="5" t="str">
        <f ca="1">IFERROR(__xludf.DUMMYFUNCTION("""COMPUTED_VALUE"""),"A-02-02-01-002-007        150.000
A-02-02-01-002-008        400.000
A-02-02-01-003-002        150.000
A-02-02-01-003-003        100.000
A-02-02-01-003-005        150.000
A-02-02-01-003-006        100.000
A-02-02-01-003-006        500.000
A-02-02-01-004-00"&amp;"2        100.000
A-02-02-01-004-008        300.000
")</f>
        <v xml:space="preserve">A-02-02-01-002-007        150.000
A-02-02-01-002-008        400.000
A-02-02-01-003-002        150.000
A-02-02-01-003-003        100.000
A-02-02-01-003-005        150.000
A-02-02-01-003-006        100.000
A-02-02-01-003-006        500.000
A-02-02-01-004-002        100.000
A-02-02-01-004-008        300.000
</v>
      </c>
      <c r="O28" s="5" t="s">
        <v>10</v>
      </c>
      <c r="P28" s="5" t="str">
        <f ca="1">IFERROR(__xludf.DUMMYFUNCTION("""COMPUTED_VALUE"""),"10")</f>
        <v>10</v>
      </c>
      <c r="Q28" s="5" t="str">
        <f ca="1">IFERROR(__xludf.DUMMYFUNCTION("""COMPUTED_VALUE"""),"NACION")</f>
        <v>NACION</v>
      </c>
      <c r="R28" s="5" t="str">
        <f ca="1">IFERROR(__xludf.DUMMYFUNCTION("""COMPUTED_VALUE"""),"107939")</f>
        <v>107939</v>
      </c>
      <c r="S28" s="15" t="s">
        <v>79</v>
      </c>
      <c r="T28" s="5" t="s">
        <v>0</v>
      </c>
    </row>
    <row r="29" spans="1:20" ht="15.75" customHeight="1">
      <c r="A29" s="5" t="str">
        <f ca="1">IFERROR(__xludf.DUMMYFUNCTION("""COMPUTED_VALUE"""),"219 LA UNION")</f>
        <v>219 LA UNION</v>
      </c>
      <c r="B29" s="5" t="str">
        <f ca="1">IFERROR(__xludf.DUMMYFUNCTION("""COMPUTED_VALUE"""),"107942")</f>
        <v>107942</v>
      </c>
      <c r="C29" s="5" t="str">
        <f ca="1">IFERROR(__xludf.DUMMYFUNCTION("""COMPUTED_VALUE"""),"MÍNIMA CUANTÍA")</f>
        <v>MÍNIMA CUANTÍA</v>
      </c>
      <c r="D29" s="5" t="str">
        <f ca="1">IFERROR(__xludf.DUMMYFUNCTION("""COMPUTED_VALUE"""),"COMPRAVENTA")</f>
        <v>COMPRAVENTA</v>
      </c>
      <c r="E29" s="5" t="str">
        <f ca="1">IFERROR(__xludf.DUMMYFUNCTION("""COMPUTED_VALUE"""),"PANAMERICANA LIBRERÍA Y PAPELERÍA S.A.")</f>
        <v>PANAMERICANA LIBRERÍA Y PAPELERÍA S.A.</v>
      </c>
      <c r="F29" s="5" t="str">
        <f ca="1">IFERROR(__xludf.DUMMYFUNCTION("""COMPUTED_VALUE"""),"ADQUISICIÓN DE ELEMENTOS PARA LA MUESTRA INTERCULTURAL POBLACIONES CON ENFOQUE DIFERENCIAL Y ATENCIÓN PSICOSOCIAL POBLACIONES ENFOQUE DIFERENCIAL E INTERSECCIONAL, PPL DEL ESTABLECIMIENTO PENITENCIARIO DE MEDIANA SEGURIDAD Y CARCELARIO DE LA UNIÓN, SEGÚN "&amp;"RES 000660 DEL 03-02-2023.")</f>
        <v>ADQUISICIÓN DE ELEMENTOS PARA LA MUESTRA INTERCULTURAL POBLACIONES CON ENFOQUE DIFERENCIAL Y ATENCIÓN PSICOSOCIAL POBLACIONES ENFOQUE DIFERENCIAL E INTERSECCIONAL, PPL DEL ESTABLECIMIENTO PENITENCIARIO DE MEDIANA SEGURIDAD Y CARCELARIO DE LA UNIÓN, SEGÚN RES 000660 DEL 03-02-2023.</v>
      </c>
      <c r="G29" s="11">
        <f ca="1">IFERROR(__xludf.DUMMYFUNCTION("""COMPUTED_VALUE"""),1000000)</f>
        <v>1000000</v>
      </c>
      <c r="H29" s="5">
        <v>0</v>
      </c>
      <c r="I29" s="11">
        <f t="shared" ca="1" si="0"/>
        <v>1000000</v>
      </c>
      <c r="J29" s="6">
        <f ca="1">IFERROR(__xludf.DUMMYFUNCTION("""COMPUTED_VALUE"""),45034)</f>
        <v>45034</v>
      </c>
      <c r="K29" s="6">
        <f ca="1">IFERROR(__xludf.DUMMYFUNCTION("""COMPUTED_VALUE"""),45034)</f>
        <v>45034</v>
      </c>
      <c r="L29" s="5" t="s">
        <v>0</v>
      </c>
      <c r="M29" s="6">
        <f ca="1">IFERROR(__xludf.DUMMYFUNCTION("""COMPUTED_VALUE"""),45064)</f>
        <v>45064</v>
      </c>
      <c r="N29" s="5" t="str">
        <f ca="1">IFERROR(__xludf.DUMMYFUNCTION("""COMPUTED_VALUE"""),"A-03-03-01-017")</f>
        <v>A-03-03-01-017</v>
      </c>
      <c r="O29" s="5" t="s">
        <v>10</v>
      </c>
      <c r="P29" s="5" t="str">
        <f ca="1">IFERROR(__xludf.DUMMYFUNCTION("""COMPUTED_VALUE"""),"10")</f>
        <v>10</v>
      </c>
      <c r="Q29" s="5" t="str">
        <f ca="1">IFERROR(__xludf.DUMMYFUNCTION("""COMPUTED_VALUE"""),"NACION")</f>
        <v>NACION</v>
      </c>
      <c r="R29" s="5" t="str">
        <f ca="1">IFERROR(__xludf.DUMMYFUNCTION("""COMPUTED_VALUE"""),"107942")</f>
        <v>107942</v>
      </c>
      <c r="S29" s="14" t="s">
        <v>80</v>
      </c>
      <c r="T29" s="5" t="s">
        <v>0</v>
      </c>
    </row>
    <row r="30" spans="1:20" ht="15.75" customHeight="1">
      <c r="A30" s="5" t="str">
        <f ca="1">IFERROR(__xludf.DUMMYFUNCTION("""COMPUTED_VALUE"""),"221 TUQUERRES")</f>
        <v>221 TUQUERRES</v>
      </c>
      <c r="B30" s="5" t="str">
        <f ca="1">IFERROR(__xludf.DUMMYFUNCTION("""COMPUTED_VALUE"""),"108217")</f>
        <v>108217</v>
      </c>
      <c r="C30" s="5" t="str">
        <f ca="1">IFERROR(__xludf.DUMMYFUNCTION("""COMPUTED_VALUE"""),"GRANDES SUPERFICIES")</f>
        <v>GRANDES SUPERFICIES</v>
      </c>
      <c r="D30" s="5" t="str">
        <f ca="1">IFERROR(__xludf.DUMMYFUNCTION("""COMPUTED_VALUE"""),"COMPRAVENTA")</f>
        <v>COMPRAVENTA</v>
      </c>
      <c r="E30" s="5" t="str">
        <f ca="1">IFERROR(__xludf.DUMMYFUNCTION("""COMPUTED_VALUE"""),"PROVEER INSTITUCIONAL SAS")</f>
        <v>PROVEER INSTITUCIONAL SAS</v>
      </c>
      <c r="F30" s="5" t="str">
        <f ca="1">IFERROR(__xludf.DUMMYFUNCTION("""COMPUTED_VALUE"""),"CONTRATAR A TRAVÉS LA TIENDA VIRTUAL DEL ESTADO COLOMBIANO, LA ADQUISICIÓN DE ARTÍCULOS DEPORTIVOS, MUSICALES, ARTESANALES Y RECREATIVOS DESTINADOS AL DESARROLLO DE PROGRAMAS Y ACTIVIDADES DE CULTURA, DEPORTE Y RECREACIÓN DE LA PPL DE LA CARCEL Y PENITENC"&amp;"IARIA DE MEDIA SEGURIDAD DE TÚQUERRES")</f>
        <v>CONTRATAR A TRAVÉS LA TIENDA VIRTUAL DEL ESTADO COLOMBIANO, LA ADQUISICIÓN DE ARTÍCULOS DEPORTIVOS, MUSICALES, ARTESANALES Y RECREATIVOS DESTINADOS AL DESARROLLO DE PROGRAMAS Y ACTIVIDADES DE CULTURA, DEPORTE Y RECREACIÓN DE LA PPL DE LA CARCEL Y PENITENCIARIA DE MEDIA SEGURIDAD DE TÚQUERRES</v>
      </c>
      <c r="G30" s="11">
        <f ca="1">IFERROR(__xludf.DUMMYFUNCTION("""COMPUTED_VALUE"""),6867506)</f>
        <v>6867506</v>
      </c>
      <c r="H30" s="5">
        <v>0</v>
      </c>
      <c r="I30" s="11">
        <f t="shared" ca="1" si="0"/>
        <v>6867506</v>
      </c>
      <c r="J30" s="6">
        <f ca="1">IFERROR(__xludf.DUMMYFUNCTION("""COMPUTED_VALUE"""),45040)</f>
        <v>45040</v>
      </c>
      <c r="K30" s="6">
        <f ca="1">IFERROR(__xludf.DUMMYFUNCTION("""COMPUTED_VALUE"""),45040)</f>
        <v>45040</v>
      </c>
      <c r="L30" s="5" t="s">
        <v>0</v>
      </c>
      <c r="M30" s="6">
        <f ca="1">IFERROR(__xludf.DUMMYFUNCTION("""COMPUTED_VALUE"""),45153)</f>
        <v>45153</v>
      </c>
      <c r="N30" s="5" t="str">
        <f ca="1">IFERROR(__xludf.DUMMYFUNCTION("""COMPUTED_VALUE"""),"A-02-02-01-002-006 / A-02-02-01-002-007 / A-02-02-01-003-001 / 02-02-01-003-002 / 02-02-01-003-003 / 02-02-01-003-004 / 02-02-01-003-005 / 02-02-01-003-006 / 02-02-01-003-008 / 02-02-01-004-002 / 02-02-01-004-006 / 02-02-01-004-007 / 02-02-01-004-008")</f>
        <v>A-02-02-01-002-006 / A-02-02-01-002-007 / A-02-02-01-003-001 / 02-02-01-003-002 / 02-02-01-003-003 / 02-02-01-003-004 / 02-02-01-003-005 / 02-02-01-003-006 / 02-02-01-003-008 / 02-02-01-004-002 / 02-02-01-004-006 / 02-02-01-004-007 / 02-02-01-004-008</v>
      </c>
      <c r="O30" s="5" t="s">
        <v>28</v>
      </c>
      <c r="P30" s="5" t="str">
        <f ca="1">IFERROR(__xludf.DUMMYFUNCTION("""COMPUTED_VALUE"""),"26")</f>
        <v>26</v>
      </c>
      <c r="Q30" s="5" t="str">
        <f ca="1">IFERROR(__xludf.DUMMYFUNCTION("""COMPUTED_VALUE"""),"PROPIOS")</f>
        <v>PROPIOS</v>
      </c>
      <c r="R30" s="5" t="str">
        <f ca="1">IFERROR(__xludf.DUMMYFUNCTION("""COMPUTED_VALUE"""),"108217")</f>
        <v>108217</v>
      </c>
      <c r="S30" s="14" t="str">
        <f ca="1">IFERROR(__xludf.DUMMYFUNCTION("""COMPUTED_VALUE"""),"https://www.colombiacompra.gov.co/tienda-virtual-del-estado-colombiano/ordenes-compra/108217")</f>
        <v>https://www.colombiacompra.gov.co/tienda-virtual-del-estado-colombiano/ordenes-compra/108217</v>
      </c>
      <c r="T30" s="5" t="s">
        <v>0</v>
      </c>
    </row>
    <row r="31" spans="1:20" ht="15.75" customHeight="1">
      <c r="A31" s="5" t="str">
        <f ca="1">IFERROR(__xludf.DUMMYFUNCTION("""COMPUTED_VALUE"""),"221 TUQUERRES")</f>
        <v>221 TUQUERRES</v>
      </c>
      <c r="B31" s="5" t="str">
        <f ca="1">IFERROR(__xludf.DUMMYFUNCTION("""COMPUTED_VALUE"""),"108228")</f>
        <v>108228</v>
      </c>
      <c r="C31" s="5" t="str">
        <f ca="1">IFERROR(__xludf.DUMMYFUNCTION("""COMPUTED_VALUE"""),"GRANDES SUPERFICIES")</f>
        <v>GRANDES SUPERFICIES</v>
      </c>
      <c r="D31" s="5" t="str">
        <f ca="1">IFERROR(__xludf.DUMMYFUNCTION("""COMPUTED_VALUE"""),"COMPRAVENTA")</f>
        <v>COMPRAVENTA</v>
      </c>
      <c r="E31" s="5" t="str">
        <f ca="1">IFERROR(__xludf.DUMMYFUNCTION("""COMPUTED_VALUE"""),"PROVEER INSTITUCIONAL SAS")</f>
        <v>PROVEER INSTITUCIONAL SAS</v>
      </c>
      <c r="F31" s="5" t="str">
        <f ca="1">IFERROR(__xludf.DUMMYFUNCTION("""COMPUTED_VALUE"""),"CONTRATAR A TRAVÉS LA TIENDA VIRTUAL DEL ESTADO COLOMBIANO, LA ADQUISICIÓN DE MESAS, SILLAS Y MANTELES DESTINADOS A FORTALECER EL DESARROLLO LOS PROGRAMAS DE ATENCIÓN PSICOSOCIAL, PRESERVACIÓN DE LA VIDA Y PREVENCÍON DE CONSUMO DE SUSTANCIAS PSICOACTIVAS "&amp;"DE LA PPL DE LA CARCEL Y PENITENCIARIA DE MEDIA SEGURIDAD DE TÚQUERRES")</f>
        <v>CONTRATAR A TRAVÉS LA TIENDA VIRTUAL DEL ESTADO COLOMBIANO, LA ADQUISICIÓN DE MESAS, SILLAS Y MANTELES DESTINADOS A FORTALECER EL DESARROLLO LOS PROGRAMAS DE ATENCIÓN PSICOSOCIAL, PRESERVACIÓN DE LA VIDA Y PREVENCÍON DE CONSUMO DE SUSTANCIAS PSICOACTIVAS DE LA PPL DE LA CARCEL Y PENITENCIARIA DE MEDIA SEGURIDAD DE TÚQUERRES</v>
      </c>
      <c r="G31" s="11">
        <f ca="1">IFERROR(__xludf.DUMMYFUNCTION("""COMPUTED_VALUE"""),1592774)</f>
        <v>1592774</v>
      </c>
      <c r="H31" s="5">
        <v>0</v>
      </c>
      <c r="I31" s="11">
        <f t="shared" ca="1" si="0"/>
        <v>1592774</v>
      </c>
      <c r="J31" s="6">
        <f ca="1">IFERROR(__xludf.DUMMYFUNCTION("""COMPUTED_VALUE"""),45040)</f>
        <v>45040</v>
      </c>
      <c r="K31" s="6">
        <f ca="1">IFERROR(__xludf.DUMMYFUNCTION("""COMPUTED_VALUE"""),45040)</f>
        <v>45040</v>
      </c>
      <c r="L31" s="5" t="s">
        <v>0</v>
      </c>
      <c r="M31" s="6">
        <f ca="1">IFERROR(__xludf.DUMMYFUNCTION("""COMPUTED_VALUE"""),45153)</f>
        <v>45153</v>
      </c>
      <c r="N31" s="5" t="str">
        <f ca="1">IFERROR(__xludf.DUMMYFUNCTION("""COMPUTED_VALUE"""),"A-03-03-01-017")</f>
        <v>A-03-03-01-017</v>
      </c>
      <c r="O31" s="5" t="s">
        <v>28</v>
      </c>
      <c r="P31" s="5" t="str">
        <f ca="1">IFERROR(__xludf.DUMMYFUNCTION("""COMPUTED_VALUE"""),"10")</f>
        <v>10</v>
      </c>
      <c r="Q31" s="5" t="str">
        <f ca="1">IFERROR(__xludf.DUMMYFUNCTION("""COMPUTED_VALUE"""),"NACION")</f>
        <v>NACION</v>
      </c>
      <c r="R31" s="5" t="str">
        <f ca="1">IFERROR(__xludf.DUMMYFUNCTION("""COMPUTED_VALUE"""),"108228")</f>
        <v>108228</v>
      </c>
      <c r="S31" s="14" t="str">
        <f ca="1">IFERROR(__xludf.DUMMYFUNCTION("""COMPUTED_VALUE"""),"https://www.colombiacompra.gov.co/tienda-virtual-del-estado-colombiano/ordenes-compra/108228")</f>
        <v>https://www.colombiacompra.gov.co/tienda-virtual-del-estado-colombiano/ordenes-compra/108228</v>
      </c>
      <c r="T31" s="5" t="s">
        <v>0</v>
      </c>
    </row>
    <row r="32" spans="1:20" ht="15.75" customHeight="1">
      <c r="A32" s="5" t="str">
        <f ca="1">IFERROR(__xludf.DUMMYFUNCTION("""COMPUTED_VALUE"""),"221 TUQUERRES")</f>
        <v>221 TUQUERRES</v>
      </c>
      <c r="B32" s="5" t="str">
        <f ca="1">IFERROR(__xludf.DUMMYFUNCTION("""COMPUTED_VALUE"""),"MC-005-2023")</f>
        <v>MC-005-2023</v>
      </c>
      <c r="C32" s="5" t="str">
        <f ca="1">IFERROR(__xludf.DUMMYFUNCTION("""COMPUTED_VALUE"""),"MÍNIMA CUANTÍA")</f>
        <v>MÍNIMA CUANTÍA</v>
      </c>
      <c r="D32" s="5" t="str">
        <f ca="1">IFERROR(__xludf.DUMMYFUNCTION("""COMPUTED_VALUE"""),"PRESTACIÓN DE SERVICIOS")</f>
        <v>PRESTACIÓN DE SERVICIOS</v>
      </c>
      <c r="E32" s="5" t="str">
        <f ca="1">IFERROR(__xludf.DUMMYFUNCTION("""COMPUTED_VALUE"""),"CONTRATAR EL SERVICIO DE RECARGA DE EXTINTORES DESTINADOS A ÁREAS LABORALES DE LA PPL DE LA CÁRCEL Y PENITENCIARIA DE MEDIA SEGURIDAD DE TÚQUERRES")</f>
        <v>CONTRATAR EL SERVICIO DE RECARGA DE EXTINTORES DESTINADOS A ÁREAS LABORALES DE LA PPL DE LA CÁRCEL Y PENITENCIARIA DE MEDIA SEGURIDAD DE TÚQUERRES</v>
      </c>
      <c r="F32" s="5" t="str">
        <f ca="1">IFERROR(__xludf.DUMMYFUNCTION("""COMPUTED_VALUE"""),"CONTRATAR EL SERVICIO DE RECARGA DE EXTINTORES DESTINADOS A ÁREAS LABORALES DE LA PPL DE LA CÁRCEL Y PENITENCIARIA DE MEDIA SEGURIDAD DE TÚQUERRES.")</f>
        <v>CONTRATAR EL SERVICIO DE RECARGA DE EXTINTORES DESTINADOS A ÁREAS LABORALES DE LA PPL DE LA CÁRCEL Y PENITENCIARIA DE MEDIA SEGURIDAD DE TÚQUERRES.</v>
      </c>
      <c r="G32" s="11">
        <f ca="1">IFERROR(__xludf.DUMMYFUNCTION("""COMPUTED_VALUE"""),679983)</f>
        <v>679983</v>
      </c>
      <c r="H32" s="5">
        <v>0</v>
      </c>
      <c r="I32" s="11">
        <f t="shared" ca="1" si="0"/>
        <v>679983</v>
      </c>
      <c r="J32" s="6">
        <f ca="1">IFERROR(__xludf.DUMMYFUNCTION("""COMPUTED_VALUE"""),45044)</f>
        <v>45044</v>
      </c>
      <c r="K32" s="6">
        <f ca="1">IFERROR(__xludf.DUMMYFUNCTION("""COMPUTED_VALUE"""),45044)</f>
        <v>45044</v>
      </c>
      <c r="L32" s="5" t="s">
        <v>0</v>
      </c>
      <c r="M32" s="6">
        <f ca="1">IFERROR(__xludf.DUMMYFUNCTION("""COMPUTED_VALUE"""),45290)</f>
        <v>45290</v>
      </c>
      <c r="N32" s="5" t="str">
        <f ca="1">IFERROR(__xludf.DUMMYFUNCTION("""COMPUTED_VALUE"""),"A-03-03-01-017")</f>
        <v>A-03-03-01-017</v>
      </c>
      <c r="O32" s="5" t="s">
        <v>27</v>
      </c>
      <c r="P32" s="5" t="str">
        <f ca="1">IFERROR(__xludf.DUMMYFUNCTION("""COMPUTED_VALUE"""),"10")</f>
        <v>10</v>
      </c>
      <c r="Q32" s="5" t="str">
        <f ca="1">IFERROR(__xludf.DUMMYFUNCTION("""COMPUTED_VALUE"""),"NACION")</f>
        <v>NACION</v>
      </c>
      <c r="R32" s="5" t="str">
        <f ca="1">IFERROR(__xludf.DUMMYFUNCTION("""COMPUTED_VALUE"""),"CO1.PCCNTR.4911395")</f>
        <v>CO1.PCCNTR.4911395</v>
      </c>
      <c r="S32" s="14" t="str">
        <f ca="1">IFERROR(__xludf.DUMMYFUNCTION("""COMPUTED_VALUE"""),"https://community.secop.gov.co/Public/Tendering/OpportunityDetail/Index?noticeUID=CO1.NTC.4334241&amp;isFromPublicArea=True&amp;isModal=False
")</f>
        <v xml:space="preserve">https://community.secop.gov.co/Public/Tendering/OpportunityDetail/Index?noticeUID=CO1.NTC.4334241&amp;isFromPublicArea=True&amp;isModal=False
</v>
      </c>
      <c r="T32" s="5" t="s">
        <v>0</v>
      </c>
    </row>
    <row r="33" spans="1:20" ht="15.75" customHeight="1">
      <c r="A33" s="5" t="str">
        <f ca="1">IFERROR(__xludf.DUMMYFUNCTION("""COMPUTED_VALUE"""),"225 PALMIRA")</f>
        <v>225 PALMIRA</v>
      </c>
      <c r="B33" s="5" t="str">
        <f ca="1">IFERROR(__xludf.DUMMYFUNCTION("""COMPUTED_VALUE"""),"023-225-2023")</f>
        <v>023-225-2023</v>
      </c>
      <c r="C33" s="5" t="str">
        <f ca="1">IFERROR(__xludf.DUMMYFUNCTION("""COMPUTED_VALUE"""),"MÍNIMA CUANTÍA")</f>
        <v>MÍNIMA CUANTÍA</v>
      </c>
      <c r="D33" s="5" t="str">
        <f ca="1">IFERROR(__xludf.DUMMYFUNCTION("""COMPUTED_VALUE"""),"SUMINISTRO")</f>
        <v>SUMINISTRO</v>
      </c>
      <c r="E33" s="5" t="str">
        <f ca="1">IFERROR(__xludf.DUMMYFUNCTION("""COMPUTED_VALUE"""),"COLORBLACK SAS")</f>
        <v>COLORBLACK SAS</v>
      </c>
      <c r="F33" s="5" t="str">
        <f ca="1">IFERROR(__xludf.DUMMYFUNCTION("""COMPUTED_VALUE"""),"ADQUISICION A PRECIOS UNITARIOS DE UTILES DE ESCRITORIO Y TONERS GENERICOS PARA LAS OFICINAS DEL AREA ADMINISTRATIVA DE LA CARCEL Y PENITENCIARIA DE ALTA Y MEDIANA SEGURIDAD DE PALMIRA ")</f>
        <v xml:space="preserve">ADQUISICION A PRECIOS UNITARIOS DE UTILES DE ESCRITORIO Y TONERS GENERICOS PARA LAS OFICINAS DEL AREA ADMINISTRATIVA DE LA CARCEL Y PENITENCIARIA DE ALTA Y MEDIANA SEGURIDAD DE PALMIRA </v>
      </c>
      <c r="G33" s="11">
        <f ca="1">IFERROR(__xludf.DUMMYFUNCTION("""COMPUTED_VALUE"""),7060160)</f>
        <v>7060160</v>
      </c>
      <c r="H33" s="5">
        <v>0</v>
      </c>
      <c r="I33" s="11">
        <f t="shared" ca="1" si="0"/>
        <v>7060160</v>
      </c>
      <c r="J33" s="6">
        <f ca="1">IFERROR(__xludf.DUMMYFUNCTION("""COMPUTED_VALUE"""),45021)</f>
        <v>45021</v>
      </c>
      <c r="K33" s="6">
        <f ca="1">IFERROR(__xludf.DUMMYFUNCTION("""COMPUTED_VALUE"""),45021)</f>
        <v>45021</v>
      </c>
      <c r="L33" s="5" t="s">
        <v>0</v>
      </c>
      <c r="M33" s="6">
        <f ca="1">IFERROR(__xludf.DUMMYFUNCTION("""COMPUTED_VALUE"""),45065)</f>
        <v>45065</v>
      </c>
      <c r="N33" s="5" t="str">
        <f ca="1">IFERROR(__xludf.DUMMYFUNCTION("""COMPUTED_VALUE"""),"A-02-02-01-003-008")</f>
        <v>A-02-02-01-003-008</v>
      </c>
      <c r="O33" s="5" t="s">
        <v>26</v>
      </c>
      <c r="P33" s="5" t="str">
        <f ca="1">IFERROR(__xludf.DUMMYFUNCTION("""COMPUTED_VALUE"""),"10")</f>
        <v>10</v>
      </c>
      <c r="Q33" s="5" t="str">
        <f ca="1">IFERROR(__xludf.DUMMYFUNCTION("""COMPUTED_VALUE"""),"NACION")</f>
        <v>NACION</v>
      </c>
      <c r="R33" s="5" t="str">
        <f ca="1">IFERROR(__xludf.DUMMYFUNCTION("""COMPUTED_VALUE"""),"CO1.PCCNTR.4838801")</f>
        <v>CO1.PCCNTR.4838801</v>
      </c>
      <c r="S33" s="14" t="str">
        <f ca="1">IFERROR(__xludf.DUMMYFUNCTION("""COMPUTED_VALUE"""),"https://community.secop.gov.co/Public/Tendering/OpportunityDetail/Index?noticeUID=CO1.NTC.4240415&amp;isFromPublicArea=True&amp;isModal=False")</f>
        <v>https://community.secop.gov.co/Public/Tendering/OpportunityDetail/Index?noticeUID=CO1.NTC.4240415&amp;isFromPublicArea=True&amp;isModal=False</v>
      </c>
      <c r="T33" s="5" t="s">
        <v>0</v>
      </c>
    </row>
    <row r="34" spans="1:20" ht="15.75" customHeight="1">
      <c r="A34" s="5" t="str">
        <f ca="1">IFERROR(__xludf.DUMMYFUNCTION("""COMPUTED_VALUE"""),"225 PALMIRA")</f>
        <v>225 PALMIRA</v>
      </c>
      <c r="B34" s="5" t="str">
        <f ca="1">IFERROR(__xludf.DUMMYFUNCTION("""COMPUTED_VALUE"""),"024-225-2023")</f>
        <v>024-225-2023</v>
      </c>
      <c r="C34" s="5" t="str">
        <f ca="1">IFERROR(__xludf.DUMMYFUNCTION("""COMPUTED_VALUE"""),"MÍNIMA CUANTÍA")</f>
        <v>MÍNIMA CUANTÍA</v>
      </c>
      <c r="D34" s="5" t="str">
        <f ca="1">IFERROR(__xludf.DUMMYFUNCTION("""COMPUTED_VALUE"""),"SUMINISTRO")</f>
        <v>SUMINISTRO</v>
      </c>
      <c r="E34" s="5" t="str">
        <f ca="1">IFERROR(__xludf.DUMMYFUNCTION("""COMPUTED_VALUE"""),"JOAQUIN GONZALES LUCUMI")</f>
        <v>JOAQUIN GONZALES LUCUMI</v>
      </c>
      <c r="F34" s="5" t="str">
        <f ca="1">IFERROR(__xludf.DUMMYFUNCTION("""COMPUTED_VALUE"""),"CONTRATAR EL MANTENIMIENTO Y REPARACION A PRECIOS UNITARIOS. MONTO AGOTABLE DEL PARQUE AUTOMOTOR DE LA CARCEL Y PENITENCIARIA DE ALTA Y MEDIANA SEGURIDAD DE PALMIRA")</f>
        <v>CONTRATAR EL MANTENIMIENTO Y REPARACION A PRECIOS UNITARIOS. MONTO AGOTABLE DEL PARQUE AUTOMOTOR DE LA CARCEL Y PENITENCIARIA DE ALTA Y MEDIANA SEGURIDAD DE PALMIRA</v>
      </c>
      <c r="G34" s="11">
        <f ca="1">IFERROR(__xludf.DUMMYFUNCTION("""COMPUTED_VALUE"""),28261500)</f>
        <v>28261500</v>
      </c>
      <c r="H34" s="5">
        <v>0</v>
      </c>
      <c r="I34" s="11">
        <f t="shared" ca="1" si="0"/>
        <v>28261500</v>
      </c>
      <c r="J34" s="6">
        <f ca="1">IFERROR(__xludf.DUMMYFUNCTION("""COMPUTED_VALUE"""),45034)</f>
        <v>45034</v>
      </c>
      <c r="K34" s="6">
        <f ca="1">IFERROR(__xludf.DUMMYFUNCTION("""COMPUTED_VALUE"""),45034)</f>
        <v>45034</v>
      </c>
      <c r="L34" s="5" t="s">
        <v>0</v>
      </c>
      <c r="M34" s="6">
        <f ca="1">IFERROR(__xludf.DUMMYFUNCTION("""COMPUTED_VALUE"""),45228)</f>
        <v>45228</v>
      </c>
      <c r="N34" s="5" t="str">
        <f ca="1">IFERROR(__xludf.DUMMYFUNCTION("""COMPUTED_VALUE"""),"A-02-02-02-008-007")</f>
        <v>A-02-02-02-008-007</v>
      </c>
      <c r="O34" s="5" t="s">
        <v>25</v>
      </c>
      <c r="P34" s="5" t="str">
        <f ca="1">IFERROR(__xludf.DUMMYFUNCTION("""COMPUTED_VALUE"""),"10")</f>
        <v>10</v>
      </c>
      <c r="Q34" s="5" t="str">
        <f ca="1">IFERROR(__xludf.DUMMYFUNCTION("""COMPUTED_VALUE"""),"NACION")</f>
        <v>NACION</v>
      </c>
      <c r="R34" s="5" t="str">
        <f ca="1">IFERROR(__xludf.DUMMYFUNCTION("""COMPUTED_VALUE"""),"CO1.PCCNTR.4874401")</f>
        <v>CO1.PCCNTR.4874401</v>
      </c>
      <c r="S34" s="14" t="str">
        <f ca="1">IFERROR(__xludf.DUMMYFUNCTION("""COMPUTED_VALUE"""),"https://community.secop.gov.co/Public/Tendering/OpportunityDetail/Index?noticeUID=CO1.NTC.4289612&amp;isFromPublicArea=True&amp;isModal=False")</f>
        <v>https://community.secop.gov.co/Public/Tendering/OpportunityDetail/Index?noticeUID=CO1.NTC.4289612&amp;isFromPublicArea=True&amp;isModal=False</v>
      </c>
      <c r="T34" s="5" t="s">
        <v>0</v>
      </c>
    </row>
    <row r="35" spans="1:20" ht="15.75" customHeight="1">
      <c r="A35" s="5" t="str">
        <f ca="1">IFERROR(__xludf.DUMMYFUNCTION("""COMPUTED_VALUE"""),"225 PALMIRA")</f>
        <v>225 PALMIRA</v>
      </c>
      <c r="B35" s="5" t="str">
        <f ca="1">IFERROR(__xludf.DUMMYFUNCTION("""COMPUTED_VALUE"""),"OC107249")</f>
        <v>OC107249</v>
      </c>
      <c r="C35" s="5" t="str">
        <f ca="1">IFERROR(__xludf.DUMMYFUNCTION("""COMPUTED_VALUE"""),"GRANDES SUPERFICIES")</f>
        <v>GRANDES SUPERFICIES</v>
      </c>
      <c r="D35" s="5" t="str">
        <f ca="1">IFERROR(__xludf.DUMMYFUNCTION("""COMPUTED_VALUE"""),"COMPRAVENTA")</f>
        <v>COMPRAVENTA</v>
      </c>
      <c r="E35" s="5" t="str">
        <f ca="1">IFERROR(__xludf.DUMMYFUNCTION("""COMPUTED_VALUE"""),"PANAMERICANA LIBRERIA Y PAPELERIA S.A.")</f>
        <v>PANAMERICANA LIBRERIA Y PAPELERIA S.A.</v>
      </c>
      <c r="F35" s="5" t="str">
        <f ca="1">IFERROR(__xludf.DUMMYFUNCTION("""COMPUTED_VALUE"""),"SUMINISTRO Y ADQUISICION DE ELEMENTOS A TRAVES D ELA EJECUCION D ELOS RUBROS DE RECURSOS NACION DE LA CARCEL Y PENITENCIARIA DE ALTA Y MEDIANA SEGURIDAD DE PALMIRA ")</f>
        <v xml:space="preserve">SUMINISTRO Y ADQUISICION DE ELEMENTOS A TRAVES D ELA EJECUCION D ELOS RUBROS DE RECURSOS NACION DE LA CARCEL Y PENITENCIARIA DE ALTA Y MEDIANA SEGURIDAD DE PALMIRA </v>
      </c>
      <c r="G35" s="11">
        <f ca="1">IFERROR(__xludf.DUMMYFUNCTION("""COMPUTED_VALUE"""),12500000)</f>
        <v>12500000</v>
      </c>
      <c r="H35" s="5">
        <v>0</v>
      </c>
      <c r="I35" s="11">
        <f t="shared" ca="1" si="0"/>
        <v>12500000</v>
      </c>
      <c r="J35" s="6">
        <f ca="1">IFERROR(__xludf.DUMMYFUNCTION("""COMPUTED_VALUE"""),45019)</f>
        <v>45019</v>
      </c>
      <c r="K35" s="6">
        <f ca="1">IFERROR(__xludf.DUMMYFUNCTION("""COMPUTED_VALUE"""),45019)</f>
        <v>45019</v>
      </c>
      <c r="L35" s="5" t="s">
        <v>0</v>
      </c>
      <c r="M35" s="6">
        <f ca="1">IFERROR(__xludf.DUMMYFUNCTION("""COMPUTED_VALUE"""),45065)</f>
        <v>45065</v>
      </c>
      <c r="N35" s="5" t="str">
        <f ca="1">IFERROR(__xludf.DUMMYFUNCTION("""COMPUTED_VALUE"""),"A-02-02-01-002-006, A-02-02-01-002-007, A-02-02-01-003-001, A-02-02-01-003-002, A-02-02-01-003-003, A-02-02-01-003-004, A-02-02-01-003-005, A-02-02-01-003-006, A-02-02-01-003-008, A-02-02-01-004-002 Y A-02-02-01-004-007")</f>
        <v>A-02-02-01-002-006, A-02-02-01-002-007, A-02-02-01-003-001, A-02-02-01-003-002, A-02-02-01-003-003, A-02-02-01-003-004, A-02-02-01-003-005, A-02-02-01-003-006, A-02-02-01-003-008, A-02-02-01-004-002 Y A-02-02-01-004-007</v>
      </c>
      <c r="O35" s="5" t="s">
        <v>10</v>
      </c>
      <c r="P35" s="5" t="str">
        <f ca="1">IFERROR(__xludf.DUMMYFUNCTION("""COMPUTED_VALUE"""),"26")</f>
        <v>26</v>
      </c>
      <c r="Q35" s="5" t="str">
        <f ca="1">IFERROR(__xludf.DUMMYFUNCTION("""COMPUTED_VALUE"""),"PROPIOS")</f>
        <v>PROPIOS</v>
      </c>
      <c r="R35" s="5" t="str">
        <f ca="1">IFERROR(__xludf.DUMMYFUNCTION("""COMPUTED_VALUE"""),"OC107249")</f>
        <v>OC107249</v>
      </c>
      <c r="S35" s="14" t="str">
        <f ca="1">IFERROR(__xludf.DUMMYFUNCTION("""COMPUTED_VALUE"""),"https://www.colombiacompra.gov.co/tienda-virtual-del-estado-colombiano/ordenes-compra/107249")</f>
        <v>https://www.colombiacompra.gov.co/tienda-virtual-del-estado-colombiano/ordenes-compra/107249</v>
      </c>
      <c r="T35" s="5" t="s">
        <v>0</v>
      </c>
    </row>
    <row r="36" spans="1:20" ht="15.75" customHeight="1">
      <c r="A36" s="5" t="str">
        <f ca="1">IFERROR(__xludf.DUMMYFUNCTION("""COMPUTED_VALUE"""),"225 PALMIRA")</f>
        <v>225 PALMIRA</v>
      </c>
      <c r="B36" s="5" t="str">
        <f ca="1">IFERROR(__xludf.DUMMYFUNCTION("""COMPUTED_VALUE"""),"OC108023")</f>
        <v>OC108023</v>
      </c>
      <c r="C36" s="5" t="str">
        <f ca="1">IFERROR(__xludf.DUMMYFUNCTION("""COMPUTED_VALUE"""),"GRANDES SUPERFICIES")</f>
        <v>GRANDES SUPERFICIES</v>
      </c>
      <c r="D36" s="5" t="str">
        <f ca="1">IFERROR(__xludf.DUMMYFUNCTION("""COMPUTED_VALUE"""),"COMPRAVENTA")</f>
        <v>COMPRAVENTA</v>
      </c>
      <c r="E36" s="5" t="str">
        <f ca="1">IFERROR(__xludf.DUMMYFUNCTION("""COMPUTED_VALUE"""),"PANAMERICANA LIBRERIA Y PAPELERIA S.A.")</f>
        <v>PANAMERICANA LIBRERIA Y PAPELERIA S.A.</v>
      </c>
      <c r="F36" s="5" t="str">
        <f ca="1">IFERROR(__xludf.DUMMYFUNCTION("""COMPUTED_VALUE"""),"ADQUISICION DE MATERIAL DIDACTICO E INSUMOS PARA LOS PROGRAMAS DE DEPORTE, CULTURA Y RECREACION A BENEFICIO DE LA PPL DE LA CARCEL Y PENITENCIARIA DE ALTA Y MEDIANA SEGURIDAD DE PALMIRA ")</f>
        <v xml:space="preserve">ADQUISICION DE MATERIAL DIDACTICO E INSUMOS PARA LOS PROGRAMAS DE DEPORTE, CULTURA Y RECREACION A BENEFICIO DE LA PPL DE LA CARCEL Y PENITENCIARIA DE ALTA Y MEDIANA SEGURIDAD DE PALMIRA </v>
      </c>
      <c r="G36" s="11">
        <f ca="1">IFERROR(__xludf.DUMMYFUNCTION("""COMPUTED_VALUE"""),9173221)</f>
        <v>9173221</v>
      </c>
      <c r="H36" s="5">
        <v>0</v>
      </c>
      <c r="I36" s="11">
        <f t="shared" ca="1" si="0"/>
        <v>9173221</v>
      </c>
      <c r="J36" s="6">
        <f ca="1">IFERROR(__xludf.DUMMYFUNCTION("""COMPUTED_VALUE"""),45036)</f>
        <v>45036</v>
      </c>
      <c r="K36" s="6">
        <f ca="1">IFERROR(__xludf.DUMMYFUNCTION("""COMPUTED_VALUE"""),45036)</f>
        <v>45036</v>
      </c>
      <c r="L36" s="5" t="s">
        <v>0</v>
      </c>
      <c r="M36" s="6">
        <f ca="1">IFERROR(__xludf.DUMMYFUNCTION("""COMPUTED_VALUE"""),45077)</f>
        <v>45077</v>
      </c>
      <c r="N36" s="5" t="str">
        <f ca="1">IFERROR(__xludf.DUMMYFUNCTION("""COMPUTED_VALUE"""),"A-02-02-01-003-002; A- 02-02-01-003-006;  A-02-02-01-004-002; A-02-02-01-004-005; A-02-02-01-004-007")</f>
        <v>A-02-02-01-003-002; A- 02-02-01-003-006;  A-02-02-01-004-002; A-02-02-01-004-005; A-02-02-01-004-007</v>
      </c>
      <c r="O36" s="5" t="s">
        <v>10</v>
      </c>
      <c r="P36" s="5" t="str">
        <f ca="1">IFERROR(__xludf.DUMMYFUNCTION("""COMPUTED_VALUE"""),"10")</f>
        <v>10</v>
      </c>
      <c r="Q36" s="5" t="str">
        <f ca="1">IFERROR(__xludf.DUMMYFUNCTION("""COMPUTED_VALUE"""),"NACION")</f>
        <v>NACION</v>
      </c>
      <c r="R36" s="5" t="str">
        <f ca="1">IFERROR(__xludf.DUMMYFUNCTION("""COMPUTED_VALUE"""),"OC108023")</f>
        <v>OC108023</v>
      </c>
      <c r="S36" s="14" t="str">
        <f ca="1">IFERROR(__xludf.DUMMYFUNCTION("""COMPUTED_VALUE"""),"https://www.colombiacompra.gov.co/tienda-virtual-del-estado-colombiano/ordenes-compra/108023")</f>
        <v>https://www.colombiacompra.gov.co/tienda-virtual-del-estado-colombiano/ordenes-compra/108023</v>
      </c>
      <c r="T36" s="5" t="s">
        <v>0</v>
      </c>
    </row>
    <row r="37" spans="1:20" ht="15.75" customHeight="1">
      <c r="A37" s="5" t="str">
        <f ca="1">IFERROR(__xludf.DUMMYFUNCTION("""COMPUTED_VALUE"""),"225 PALMIRA")</f>
        <v>225 PALMIRA</v>
      </c>
      <c r="B37" s="5" t="str">
        <f ca="1">IFERROR(__xludf.DUMMYFUNCTION("""COMPUTED_VALUE"""),"OC108320")</f>
        <v>OC108320</v>
      </c>
      <c r="C37" s="5" t="str">
        <f ca="1">IFERROR(__xludf.DUMMYFUNCTION("""COMPUTED_VALUE"""),"GRANDES SUPERFICIES")</f>
        <v>GRANDES SUPERFICIES</v>
      </c>
      <c r="D37" s="5" t="str">
        <f ca="1">IFERROR(__xludf.DUMMYFUNCTION("""COMPUTED_VALUE"""),"SUMINISTRO")</f>
        <v>SUMINISTRO</v>
      </c>
      <c r="E37" s="5" t="str">
        <f ca="1">IFERROR(__xludf.DUMMYFUNCTION("""COMPUTED_VALUE"""),"PANAMERICANA LIBRERIA Y PAPELERIA S.A.")</f>
        <v>PANAMERICANA LIBRERIA Y PAPELERIA S.A.</v>
      </c>
      <c r="F37" s="5" t="str">
        <f ca="1">IFERROR(__xludf.DUMMYFUNCTION("""COMPUTED_VALUE"""),"ADQUISICION DE ELEMENTOS DE OFICINA Y PAPELERIA PARA EL CORRECTO FUNCIONAMIENTO DE LOS PROGRAMAS PSICOSOCIALES CON FINES DE TRATAMIENTO  Y EL CONSEJO DE EVALUACION Y TRATAMIENTO (CET) DE LA CARCEL Y PENIENCIARIA DE ALTA Y MEDIANA SEGURIDAD DE PALMIRA (CPA"&amp;"MS PALMIRA).")</f>
        <v>ADQUISICION DE ELEMENTOS DE OFICINA Y PAPELERIA PARA EL CORRECTO FUNCIONAMIENTO DE LOS PROGRAMAS PSICOSOCIALES CON FINES DE TRATAMIENTO  Y EL CONSEJO DE EVALUACION Y TRATAMIENTO (CET) DE LA CARCEL Y PENIENCIARIA DE ALTA Y MEDIANA SEGURIDAD DE PALMIRA (CPAMS PALMIRA).</v>
      </c>
      <c r="G37" s="11">
        <f ca="1">IFERROR(__xludf.DUMMYFUNCTION("""COMPUTED_VALUE"""),36000000)</f>
        <v>36000000</v>
      </c>
      <c r="H37" s="5">
        <v>0</v>
      </c>
      <c r="I37" s="11">
        <f t="shared" ca="1" si="0"/>
        <v>36000000</v>
      </c>
      <c r="J37" s="6">
        <f ca="1">IFERROR(__xludf.DUMMYFUNCTION("""COMPUTED_VALUE"""),45041)</f>
        <v>45041</v>
      </c>
      <c r="K37" s="6">
        <f ca="1">IFERROR(__xludf.DUMMYFUNCTION("""COMPUTED_VALUE"""),45041)</f>
        <v>45041</v>
      </c>
      <c r="L37" s="5" t="s">
        <v>0</v>
      </c>
      <c r="M37" s="6">
        <f ca="1">IFERROR(__xludf.DUMMYFUNCTION("""COMPUTED_VALUE"""),45079)</f>
        <v>45079</v>
      </c>
      <c r="N37" s="5" t="str">
        <f ca="1">IFERROR(__xludf.DUMMYFUNCTION("""COMPUTED_VALUE"""),"A-03-03-01-018")</f>
        <v>A-03-03-01-018</v>
      </c>
      <c r="O37" s="5" t="s">
        <v>10</v>
      </c>
      <c r="P37" s="5" t="str">
        <f ca="1">IFERROR(__xludf.DUMMYFUNCTION("""COMPUTED_VALUE"""),"10")</f>
        <v>10</v>
      </c>
      <c r="Q37" s="5" t="str">
        <f ca="1">IFERROR(__xludf.DUMMYFUNCTION("""COMPUTED_VALUE"""),"NACION")</f>
        <v>NACION</v>
      </c>
      <c r="R37" s="5" t="str">
        <f ca="1">IFERROR(__xludf.DUMMYFUNCTION("""COMPUTED_VALUE"""),"OC108320")</f>
        <v>OC108320</v>
      </c>
      <c r="S37" s="14" t="str">
        <f ca="1">IFERROR(__xludf.DUMMYFUNCTION("""COMPUTED_VALUE"""),"https://www.colombiacompra.gov.co/tienda-virtual-del-estado-colombiano/ordenes-compra/108320")</f>
        <v>https://www.colombiacompra.gov.co/tienda-virtual-del-estado-colombiano/ordenes-compra/108320</v>
      </c>
      <c r="T37" s="5" t="s">
        <v>0</v>
      </c>
    </row>
    <row r="38" spans="1:20" ht="15.75" customHeight="1">
      <c r="A38" s="5" t="str">
        <f ca="1">IFERROR(__xludf.DUMMYFUNCTION("""COMPUTED_VALUE"""),"225 PALMIRA")</f>
        <v>225 PALMIRA</v>
      </c>
      <c r="B38" s="5" t="str">
        <f ca="1">IFERROR(__xludf.DUMMYFUNCTION("""COMPUTED_VALUE"""),"OC108418")</f>
        <v>OC108418</v>
      </c>
      <c r="C38" s="5" t="str">
        <f ca="1">IFERROR(__xludf.DUMMYFUNCTION("""COMPUTED_VALUE"""),"GRANDES SUPERFICIES")</f>
        <v>GRANDES SUPERFICIES</v>
      </c>
      <c r="D38" s="5" t="str">
        <f ca="1">IFERROR(__xludf.DUMMYFUNCTION("""COMPUTED_VALUE"""),"SUMINISTRO")</f>
        <v>SUMINISTRO</v>
      </c>
      <c r="E38" s="5" t="str">
        <f ca="1">IFERROR(__xludf.DUMMYFUNCTION("""COMPUTED_VALUE"""),"PANAMERICANA LIBRERIA Y PAPELERIA S.A.")</f>
        <v>PANAMERICANA LIBRERIA Y PAPELERIA S.A.</v>
      </c>
      <c r="F38" s="5" t="str">
        <f ca="1">IFERROR(__xludf.DUMMYFUNCTION("""COMPUTED_VALUE"""),"ADQUISICION DE ELEMENTOS PARA EL CORRECTO FUNCIONAMIENTO DE LOS PROGRAMAS PSICOSOCIALES A POBLACION DE ENFOQUE DIFERENCIAL DE LA CARCEL Y PENIENCIARIA DE ALTA Y MEDIANA SEGURIDAD DE PALMIRA (CPAMS PALMIRA).")</f>
        <v>ADQUISICION DE ELEMENTOS PARA EL CORRECTO FUNCIONAMIENTO DE LOS PROGRAMAS PSICOSOCIALES A POBLACION DE ENFOQUE DIFERENCIAL DE LA CARCEL Y PENIENCIARIA DE ALTA Y MEDIANA SEGURIDAD DE PALMIRA (CPAMS PALMIRA).</v>
      </c>
      <c r="G38" s="11">
        <f ca="1">IFERROR(__xludf.DUMMYFUNCTION("""COMPUTED_VALUE"""),7400000)</f>
        <v>7400000</v>
      </c>
      <c r="H38" s="5">
        <v>0</v>
      </c>
      <c r="I38" s="11">
        <f t="shared" ca="1" si="0"/>
        <v>7400000</v>
      </c>
      <c r="J38" s="6">
        <f ca="1">IFERROR(__xludf.DUMMYFUNCTION("""COMPUTED_VALUE"""),45042)</f>
        <v>45042</v>
      </c>
      <c r="K38" s="6">
        <f ca="1">IFERROR(__xludf.DUMMYFUNCTION("""COMPUTED_VALUE"""),45042)</f>
        <v>45042</v>
      </c>
      <c r="L38" s="5" t="s">
        <v>0</v>
      </c>
      <c r="M38" s="6">
        <f ca="1">IFERROR(__xludf.DUMMYFUNCTION("""COMPUTED_VALUE"""),45079)</f>
        <v>45079</v>
      </c>
      <c r="N38" s="5" t="str">
        <f ca="1">IFERROR(__xludf.DUMMYFUNCTION("""COMPUTED_VALUE"""),"A-03-03-01-018")</f>
        <v>A-03-03-01-018</v>
      </c>
      <c r="O38" s="5" t="s">
        <v>10</v>
      </c>
      <c r="P38" s="5" t="str">
        <f ca="1">IFERROR(__xludf.DUMMYFUNCTION("""COMPUTED_VALUE"""),"10")</f>
        <v>10</v>
      </c>
      <c r="Q38" s="5" t="str">
        <f ca="1">IFERROR(__xludf.DUMMYFUNCTION("""COMPUTED_VALUE"""),"NACION")</f>
        <v>NACION</v>
      </c>
      <c r="R38" s="5" t="str">
        <f ca="1">IFERROR(__xludf.DUMMYFUNCTION("""COMPUTED_VALUE"""),"OC108418")</f>
        <v>OC108418</v>
      </c>
      <c r="S38" s="14" t="str">
        <f ca="1">IFERROR(__xludf.DUMMYFUNCTION("""COMPUTED_VALUE"""),"https://www.colombiacompra.gov.co/tienda-virtual-del-estado-colombiano/ordenes-compra/108418")</f>
        <v>https://www.colombiacompra.gov.co/tienda-virtual-del-estado-colombiano/ordenes-compra/108418</v>
      </c>
      <c r="T38" s="5" t="s">
        <v>0</v>
      </c>
    </row>
    <row r="39" spans="1:20" ht="15.75" customHeight="1">
      <c r="A39" s="5" t="str">
        <f ca="1">IFERROR(__xludf.DUMMYFUNCTION("""COMPUTED_VALUE"""),"226 CALI")</f>
        <v>226 CALI</v>
      </c>
      <c r="B39" s="5" t="str">
        <f ca="1">IFERROR(__xludf.DUMMYFUNCTION("""COMPUTED_VALUE"""),"CAO-013-2023")</f>
        <v>CAO-013-2023</v>
      </c>
      <c r="C39" s="5" t="str">
        <f ca="1">IFERROR(__xludf.DUMMYFUNCTION("""COMPUTED_VALUE"""),"MÍNIMA CUANTÍA")</f>
        <v>MÍNIMA CUANTÍA</v>
      </c>
      <c r="D39" s="5" t="str">
        <f ca="1">IFERROR(__xludf.DUMMYFUNCTION("""COMPUTED_VALUE"""),"PRESTACIÓN DE SERVICIOS")</f>
        <v>PRESTACIÓN DE SERVICIOS</v>
      </c>
      <c r="E39" s="5" t="str">
        <f ca="1">IFERROR(__xludf.DUMMYFUNCTION("""COMPUTED_VALUE"""),"TALLER GONZALEZ CALI")</f>
        <v>TALLER GONZALEZ CALI</v>
      </c>
      <c r="F39" s="5" t="str">
        <f ca="1">IFERROR(__xludf.DUMMYFUNCTION("""COMPUTED_VALUE"""),"CONTRATAR LA PRESTACION DEL SERVICIO DE MANTENIMIENTO PREVENTIVO Y CORRECTIVO A TODO COSTO PARA LOS VEHICULOS ASIGNADOS AL PARQUE AUTOMOTOR DE LA CARCEL Y PENITENCIARIA DE MEDIA SEGURIDA DE CALI - CPMSCAL CALI SEGÚN RESOLUCION DE ASIGNACION PRESUPUESTAL N"&amp;"o 00002 DEL 02 DE ENERO DE 2023 RECURSOS NACION.")</f>
        <v>CONTRATAR LA PRESTACION DEL SERVICIO DE MANTENIMIENTO PREVENTIVO Y CORRECTIVO A TODO COSTO PARA LOS VEHICULOS ASIGNADOS AL PARQUE AUTOMOTOR DE LA CARCEL Y PENITENCIARIA DE MEDIA SEGURIDA DE CALI - CPMSCAL CALI SEGÚN RESOLUCION DE ASIGNACION PRESUPUESTAL No 00002 DEL 02 DE ENERO DE 2023 RECURSOS NACION.</v>
      </c>
      <c r="G39" s="11">
        <f ca="1">IFERROR(__xludf.DUMMYFUNCTION("""COMPUTED_VALUE"""),33090396)</f>
        <v>33090396</v>
      </c>
      <c r="H39" s="5">
        <v>0</v>
      </c>
      <c r="I39" s="11">
        <f t="shared" ca="1" si="0"/>
        <v>33090396</v>
      </c>
      <c r="J39" s="6">
        <f ca="1">IFERROR(__xludf.DUMMYFUNCTION("""COMPUTED_VALUE"""),45019)</f>
        <v>45019</v>
      </c>
      <c r="K39" s="6">
        <f ca="1">IFERROR(__xludf.DUMMYFUNCTION("""COMPUTED_VALUE"""),45019)</f>
        <v>45019</v>
      </c>
      <c r="L39" s="5" t="s">
        <v>0</v>
      </c>
      <c r="M39" s="6">
        <f ca="1">IFERROR(__xludf.DUMMYFUNCTION("""COMPUTED_VALUE"""),45291)</f>
        <v>45291</v>
      </c>
      <c r="N39" s="5" t="str">
        <f ca="1">IFERROR(__xludf.DUMMYFUNCTION("""COMPUTED_VALUE"""),"A-02-02-02-008-007")</f>
        <v>A-02-02-02-008-007</v>
      </c>
      <c r="O39" s="5" t="s">
        <v>19</v>
      </c>
      <c r="P39" s="5">
        <v>26</v>
      </c>
      <c r="Q39" s="5" t="str">
        <f ca="1">IFERROR(__xludf.DUMMYFUNCTION("""COMPUTED_VALUE"""),"NACION")</f>
        <v>NACION</v>
      </c>
      <c r="R39" s="5" t="str">
        <f ca="1">IFERROR(__xludf.DUMMYFUNCTION("""COMPUTED_VALUE"""),"CO1.BDOS.4142674")</f>
        <v>CO1.BDOS.4142674</v>
      </c>
      <c r="S39" s="14" t="str">
        <f ca="1">IFERROR(__xludf.DUMMYFUNCTION("""COMPUTED_VALUE"""),"https://community.secop.gov.co/Public/Tendering/ContractNoticePhases/View?PPI=CO1.PPI.23733012&amp;isFromPublicArea=True&amp;isModal=False")</f>
        <v>https://community.secop.gov.co/Public/Tendering/ContractNoticePhases/View?PPI=CO1.PPI.23733012&amp;isFromPublicArea=True&amp;isModal=False</v>
      </c>
      <c r="T39" s="5" t="s">
        <v>0</v>
      </c>
    </row>
    <row r="40" spans="1:20" ht="15.75" customHeight="1">
      <c r="A40" s="5" t="str">
        <f ca="1">IFERROR(__xludf.DUMMYFUNCTION("""COMPUTED_VALUE"""),"226 CALI")</f>
        <v>226 CALI</v>
      </c>
      <c r="B40" s="5" t="str">
        <f ca="1">IFERROR(__xludf.DUMMYFUNCTION("""COMPUTED_VALUE"""),"CAO-014-2023")</f>
        <v>CAO-014-2023</v>
      </c>
      <c r="C40" s="5" t="str">
        <f ca="1">IFERROR(__xludf.DUMMYFUNCTION("""COMPUTED_VALUE"""),"MÍNIMA CUANTÍA")</f>
        <v>MÍNIMA CUANTÍA</v>
      </c>
      <c r="D40" s="5" t="str">
        <f ca="1">IFERROR(__xludf.DUMMYFUNCTION("""COMPUTED_VALUE"""),"SUMINISTRO")</f>
        <v>SUMINISTRO</v>
      </c>
      <c r="E40" s="5" t="str">
        <f ca="1">IFERROR(__xludf.DUMMYFUNCTION("""COMPUTED_VALUE"""),"PROMOTORA ESPECIAL DEL SUR ")</f>
        <v xml:space="preserve">PROMOTORA ESPECIAL DEL SUR </v>
      </c>
      <c r="F40" s="5" t="str">
        <f ca="1">IFERROR(__xludf.DUMMYFUNCTION("""COMPUTED_VALUE"""),"CONTRATAR LA ADQUISICION DE MATERIA PRIMA PRODUCTOS DE MOLINERIA (HARINA, LEVADURA, AZUCAR, ENTRE OTROS) PARA LA PRODUCCION DE LOS PROCESOS DEL PROYECTO PRODUCTIVO PANADERIA DE LA CARCEL Y PENITENCIARIA DE MEDIA SEGURIDAD DE CALI (CPMSCAL – CALI). SEGÚN R"&amp;"ESOLUCION PRESUPUESTAL No. 000003 DEL 02 DE ENERO DE 2023.")</f>
        <v>CONTRATAR LA ADQUISICION DE MATERIA PRIMA PRODUCTOS DE MOLINERIA (HARINA, LEVADURA, AZUCAR, ENTRE OTROS) PARA LA PRODUCCION DE LOS PROCESOS DEL PROYECTO PRODUCTIVO PANADERIA DE LA CARCEL Y PENITENCIARIA DE MEDIA SEGURIDAD DE CALI (CPMSCAL – CALI). SEGÚN RESOLUCION PRESUPUESTAL No. 000003 DEL 02 DE ENERO DE 2023.</v>
      </c>
      <c r="G40" s="11">
        <f ca="1">IFERROR(__xludf.DUMMYFUNCTION("""COMPUTED_VALUE"""),115999918)</f>
        <v>115999918</v>
      </c>
      <c r="H40" s="5">
        <v>0</v>
      </c>
      <c r="I40" s="11">
        <f t="shared" ca="1" si="0"/>
        <v>115999918</v>
      </c>
      <c r="J40" s="6">
        <f ca="1">IFERROR(__xludf.DUMMYFUNCTION("""COMPUTED_VALUE"""),45028)</f>
        <v>45028</v>
      </c>
      <c r="K40" s="6">
        <f ca="1">IFERROR(__xludf.DUMMYFUNCTION("""COMPUTED_VALUE"""),45033)</f>
        <v>45033</v>
      </c>
      <c r="L40" s="5" t="s">
        <v>0</v>
      </c>
      <c r="M40" s="6">
        <f ca="1">IFERROR(__xludf.DUMMYFUNCTION("""COMPUTED_VALUE"""),45291)</f>
        <v>45291</v>
      </c>
      <c r="N40" s="5" t="str">
        <f ca="1">IFERROR(__xludf.DUMMYFUNCTION("""COMPUTED_VALUE"""),"A–05-01–01-002-003")</f>
        <v>A–05-01–01-002-003</v>
      </c>
      <c r="O40" s="5" t="s">
        <v>18</v>
      </c>
      <c r="P40" s="5">
        <v>26</v>
      </c>
      <c r="Q40" s="5" t="str">
        <f ca="1">IFERROR(__xludf.DUMMYFUNCTION("""COMPUTED_VALUE"""),"PROPIOS")</f>
        <v>PROPIOS</v>
      </c>
      <c r="R40" s="5" t="str">
        <f ca="1">IFERROR(__xludf.DUMMYFUNCTION("""COMPUTED_VALUE"""),"CO1.BDOS.4229762")</f>
        <v>CO1.BDOS.4229762</v>
      </c>
      <c r="S40" s="14" t="str">
        <f ca="1">IFERROR(__xludf.DUMMYFUNCTION("""COMPUTED_VALUE"""),"https://community.secop.gov.co/Public/Tendering/ContractNoticePhases/View?PPI=CO1.PPI.24081585&amp;isFromPublicArea=True&amp;isModal=False")</f>
        <v>https://community.secop.gov.co/Public/Tendering/ContractNoticePhases/View?PPI=CO1.PPI.24081585&amp;isFromPublicArea=True&amp;isModal=False</v>
      </c>
      <c r="T40" s="5" t="s">
        <v>0</v>
      </c>
    </row>
    <row r="41" spans="1:20" ht="15.75" customHeight="1">
      <c r="A41" s="5" t="str">
        <f ca="1">IFERROR(__xludf.DUMMYFUNCTION("""COMPUTED_VALUE"""),"226 CALI")</f>
        <v>226 CALI</v>
      </c>
      <c r="B41" s="5" t="str">
        <f ca="1">IFERROR(__xludf.DUMMYFUNCTION("""COMPUTED_VALUE"""),"CAO-015-2023")</f>
        <v>CAO-015-2023</v>
      </c>
      <c r="C41" s="5" t="str">
        <f ca="1">IFERROR(__xludf.DUMMYFUNCTION("""COMPUTED_VALUE"""),"MÍNIMA CUANTÍA")</f>
        <v>MÍNIMA CUANTÍA</v>
      </c>
      <c r="D41" s="5" t="str">
        <f ca="1">IFERROR(__xludf.DUMMYFUNCTION("""COMPUTED_VALUE"""),"SUMINISTRO")</f>
        <v>SUMINISTRO</v>
      </c>
      <c r="E41" s="5" t="str">
        <f ca="1">IFERROR(__xludf.DUMMYFUNCTION("""COMPUTED_VALUE"""),"SOLTEC MV SAS")</f>
        <v>SOLTEC MV SAS</v>
      </c>
      <c r="F41" s="5" t="str">
        <f ca="1">IFERROR(__xludf.DUMMYFUNCTION("""COMPUTED_VALUE"""),"CONTRATAR LA ADQUISICIÓN MATERIAL DIDÁCTICO E INSUMOS PARA EL PROGRAMA DE EDUCACIÓN FORMAL DEL CÁRCEL Y PENITENCIARIA DE MEDIA SEGURIDAD DE CALI - CPMSCAL. SEGÚN RESOLUCION 000141 DEL 13 DE 2023, RECURSO NACION")</f>
        <v>CONTRATAR LA ADQUISICIÓN MATERIAL DIDÁCTICO E INSUMOS PARA EL PROGRAMA DE EDUCACIÓN FORMAL DEL CÁRCEL Y PENITENCIARIA DE MEDIA SEGURIDAD DE CALI - CPMSCAL. SEGÚN RESOLUCION 000141 DEL 13 DE 2023, RECURSO NACION</v>
      </c>
      <c r="G41" s="11">
        <f ca="1">IFERROR(__xludf.DUMMYFUNCTION("""COMPUTED_VALUE"""),16999889)</f>
        <v>16999889</v>
      </c>
      <c r="H41" s="5">
        <v>0</v>
      </c>
      <c r="I41" s="11">
        <f t="shared" ca="1" si="0"/>
        <v>16999889</v>
      </c>
      <c r="J41" s="6">
        <f ca="1">IFERROR(__xludf.DUMMYFUNCTION("""COMPUTED_VALUE"""),45041)</f>
        <v>45041</v>
      </c>
      <c r="K41" s="6">
        <f ca="1">IFERROR(__xludf.DUMMYFUNCTION("""COMPUTED_VALUE"""),45043)</f>
        <v>45043</v>
      </c>
      <c r="L41" s="5" t="s">
        <v>0</v>
      </c>
      <c r="M41" s="6">
        <f ca="1">IFERROR(__xludf.DUMMYFUNCTION("""COMPUTED_VALUE"""),45291)</f>
        <v>45291</v>
      </c>
      <c r="N41" s="5" t="str">
        <f ca="1">IFERROR(__xludf.DUMMYFUNCTION("""COMPUTED_VALUE"""),"A–03-03-01-017")</f>
        <v>A–03-03-01-017</v>
      </c>
      <c r="O41" s="5" t="s">
        <v>17</v>
      </c>
      <c r="P41" s="5">
        <v>10</v>
      </c>
      <c r="Q41" s="5" t="str">
        <f ca="1">IFERROR(__xludf.DUMMYFUNCTION("""COMPUTED_VALUE"""),"NACION")</f>
        <v>NACION</v>
      </c>
      <c r="R41" s="5" t="str">
        <f ca="1">IFERROR(__xludf.DUMMYFUNCTION("""COMPUTED_VALUE"""),"CO1.BDOS.4293998")</f>
        <v>CO1.BDOS.4293998</v>
      </c>
      <c r="S41" s="14" t="str">
        <f ca="1">IFERROR(__xludf.DUMMYFUNCTION("""COMPUTED_VALUE"""),"https://community.secop.gov.co/Public/Tendering/ContractNoticePhases/View?PPI=CO1.PPI.24351425&amp;isFromPublicArea=True&amp;isModal=False")</f>
        <v>https://community.secop.gov.co/Public/Tendering/ContractNoticePhases/View?PPI=CO1.PPI.24351425&amp;isFromPublicArea=True&amp;isModal=False</v>
      </c>
      <c r="T41" s="5" t="s">
        <v>0</v>
      </c>
    </row>
    <row r="42" spans="1:20" ht="15.75" customHeight="1">
      <c r="A42" s="5" t="str">
        <f ca="1">IFERROR(__xludf.DUMMYFUNCTION("""COMPUTED_VALUE"""),"226 CALI")</f>
        <v>226 CALI</v>
      </c>
      <c r="B42" s="5" t="str">
        <f ca="1">IFERROR(__xludf.DUMMYFUNCTION("""COMPUTED_VALUE"""),"CAO-016-2023")</f>
        <v>CAO-016-2023</v>
      </c>
      <c r="C42" s="5" t="str">
        <f ca="1">IFERROR(__xludf.DUMMYFUNCTION("""COMPUTED_VALUE"""),"MÍNIMA CUANTÍA")</f>
        <v>MÍNIMA CUANTÍA</v>
      </c>
      <c r="D42" s="5" t="str">
        <f ca="1">IFERROR(__xludf.DUMMYFUNCTION("""COMPUTED_VALUE"""),"SUMINISTRO")</f>
        <v>SUMINISTRO</v>
      </c>
      <c r="E42" s="5" t="str">
        <f ca="1">IFERROR(__xludf.DUMMYFUNCTION("""COMPUTED_VALUE"""),"GRUPO EMPRESARIAL SUGA SAS")</f>
        <v>GRUPO EMPRESARIAL SUGA SAS</v>
      </c>
      <c r="F42" s="5" t="str">
        <f ca="1">IFERROR(__xludf.DUMMYFUNCTION("""COMPUTED_VALUE"""),"CONTRATAR EL SUMINISTRO DE PRODUCTOS LACTEOS Y OVOPRODUCTOS PARA LA COMERCIALIZACION A TRAVÉS DEL ALMACEN EXPENDIO DE LA CARCEL Y PENITENCIARIA DE MEDIA SEGURIDAD DE CALI (CPMSCAL – CALI). SEGÚN RESOLUCION PRESUPUESTAL No. 000003 DEL 02 DE ENERO DE 2023.")</f>
        <v>CONTRATAR EL SUMINISTRO DE PRODUCTOS LACTEOS Y OVOPRODUCTOS PARA LA COMERCIALIZACION A TRAVÉS DEL ALMACEN EXPENDIO DE LA CARCEL Y PENITENCIARIA DE MEDIA SEGURIDAD DE CALI (CPMSCAL – CALI). SEGÚN RESOLUCION PRESUPUESTAL No. 000003 DEL 02 DE ENERO DE 2023.</v>
      </c>
      <c r="G42" s="11">
        <f ca="1">IFERROR(__xludf.DUMMYFUNCTION("""COMPUTED_VALUE"""),99552000)</f>
        <v>99552000</v>
      </c>
      <c r="H42" s="5">
        <v>0</v>
      </c>
      <c r="I42" s="11">
        <f t="shared" ca="1" si="0"/>
        <v>99552000</v>
      </c>
      <c r="J42" s="6">
        <f ca="1">IFERROR(__xludf.DUMMYFUNCTION("""COMPUTED_VALUE"""),45041)</f>
        <v>45041</v>
      </c>
      <c r="K42" s="6">
        <f ca="1">IFERROR(__xludf.DUMMYFUNCTION("""COMPUTED_VALUE"""),45043)</f>
        <v>45043</v>
      </c>
      <c r="L42" s="5" t="s">
        <v>0</v>
      </c>
      <c r="M42" s="6">
        <f ca="1">IFERROR(__xludf.DUMMYFUNCTION("""COMPUTED_VALUE"""),45291)</f>
        <v>45291</v>
      </c>
      <c r="N42" s="5" t="str">
        <f ca="1">IFERROR(__xludf.DUMMYFUNCTION("""COMPUTED_VALUE"""),"A–05-01–01-002-002")</f>
        <v>A–05-01–01-002-002</v>
      </c>
      <c r="O42" s="5" t="s">
        <v>16</v>
      </c>
      <c r="P42" s="5">
        <v>26</v>
      </c>
      <c r="Q42" s="5" t="str">
        <f ca="1">IFERROR(__xludf.DUMMYFUNCTION("""COMPUTED_VALUE"""),"PROPIOS")</f>
        <v>PROPIOS</v>
      </c>
      <c r="R42" s="5" t="str">
        <f ca="1">IFERROR(__xludf.DUMMYFUNCTION("""COMPUTED_VALUE"""),"CO1.BDOS.4295191")</f>
        <v>CO1.BDOS.4295191</v>
      </c>
      <c r="S42" s="14" t="str">
        <f ca="1">IFERROR(__xludf.DUMMYFUNCTION("""COMPUTED_VALUE"""),"https://community.secop.gov.co/Public/Tendering/ContractNoticePhases/View?PPI=CO1.PPI.24355863&amp;isFromPublicArea=True&amp;isModal=False")</f>
        <v>https://community.secop.gov.co/Public/Tendering/ContractNoticePhases/View?PPI=CO1.PPI.24355863&amp;isFromPublicArea=True&amp;isModal=False</v>
      </c>
      <c r="T42" s="5" t="s">
        <v>0</v>
      </c>
    </row>
    <row r="43" spans="1:20" ht="15.75" customHeight="1">
      <c r="A43" s="5" t="str">
        <f ca="1">IFERROR(__xludf.DUMMYFUNCTION("""COMPUTED_VALUE"""),"226 CALI")</f>
        <v>226 CALI</v>
      </c>
      <c r="B43" s="5" t="str">
        <f ca="1">IFERROR(__xludf.DUMMYFUNCTION("""COMPUTED_VALUE"""),"105680")</f>
        <v>105680</v>
      </c>
      <c r="C43" s="5" t="str">
        <f ca="1">IFERROR(__xludf.DUMMYFUNCTION("""COMPUTED_VALUE"""),"GRANDES SUPERFICIES")</f>
        <v>GRANDES SUPERFICIES</v>
      </c>
      <c r="D43" s="5" t="str">
        <f ca="1">IFERROR(__xludf.DUMMYFUNCTION("""COMPUTED_VALUE"""),"SUMINISTRO")</f>
        <v>SUMINISTRO</v>
      </c>
      <c r="E43" s="5" t="str">
        <f ca="1">IFERROR(__xludf.DUMMYFUNCTION("""COMPUTED_VALUE"""),"LA RECETTA SOLUCIONES GASTRONOMICAS INTEGRADAS SAS")</f>
        <v>LA RECETTA SOLUCIONES GASTRONOMICAS INTEGRADAS SAS</v>
      </c>
      <c r="F43" s="5" t="str">
        <f ca="1">IFERROR(__xludf.DUMMYFUNCTION("""COMPUTED_VALUE"""),"SUMINISTRO DE HELADERÍA PARA LA COMERCIALIZACIÓN A TRAVÉS DEL PROYECTO PRODUCTIVO DE ALMACÉN EXPENDIO")</f>
        <v>SUMINISTRO DE HELADERÍA PARA LA COMERCIALIZACIÓN A TRAVÉS DEL PROYECTO PRODUCTIVO DE ALMACÉN EXPENDIO</v>
      </c>
      <c r="G43" s="11">
        <f ca="1">IFERROR(__xludf.DUMMYFUNCTION("""COMPUTED_VALUE"""),29976120)</f>
        <v>29976120</v>
      </c>
      <c r="H43" s="5">
        <v>0</v>
      </c>
      <c r="I43" s="11">
        <f t="shared" ca="1" si="0"/>
        <v>29976120</v>
      </c>
      <c r="J43" s="6">
        <f ca="1">IFERROR(__xludf.DUMMYFUNCTION("""COMPUTED_VALUE"""),44986)</f>
        <v>44986</v>
      </c>
      <c r="K43" s="6">
        <f ca="1">IFERROR(__xludf.DUMMYFUNCTION("""COMPUTED_VALUE"""),44988)</f>
        <v>44988</v>
      </c>
      <c r="L43" s="5" t="s">
        <v>0</v>
      </c>
      <c r="M43" s="6">
        <f ca="1">IFERROR(__xludf.DUMMYFUNCTION("""COMPUTED_VALUE"""),45291)</f>
        <v>45291</v>
      </c>
      <c r="N43" s="5" t="str">
        <f ca="1">IFERROR(__xludf.DUMMYFUNCTION("""COMPUTED_VALUE"""),"A-05-01-01-002-002 PRODUCTOS LACTEOS Y OVOPRODUCTOS")</f>
        <v>A-05-01-01-002-002 PRODUCTOS LACTEOS Y OVOPRODUCTOS</v>
      </c>
      <c r="O43" s="5" t="s">
        <v>15</v>
      </c>
      <c r="P43" s="5">
        <v>26</v>
      </c>
      <c r="Q43" s="5" t="str">
        <f ca="1">IFERROR(__xludf.DUMMYFUNCTION("""COMPUTED_VALUE"""),"PROPIOS")</f>
        <v>PROPIOS</v>
      </c>
      <c r="R43" s="5" t="str">
        <f ca="1">IFERROR(__xludf.DUMMYFUNCTION("""COMPUTED_VALUE"""),"105680")</f>
        <v>105680</v>
      </c>
      <c r="S43" s="14" t="str">
        <f ca="1">IFERROR(__xludf.DUMMYFUNCTION("""COMPUTED_VALUE"""),"https://www.colombiacompra.gov.co/tienda-virtual-del-estado-colombiano/ordenes-compra/105680")</f>
        <v>https://www.colombiacompra.gov.co/tienda-virtual-del-estado-colombiano/ordenes-compra/105680</v>
      </c>
      <c r="T43" s="5" t="s">
        <v>0</v>
      </c>
    </row>
    <row r="44" spans="1:20" ht="15.75" customHeight="1">
      <c r="A44" s="5" t="str">
        <f ca="1">IFERROR(__xludf.DUMMYFUNCTION("""COMPUTED_VALUE"""),"227 BUGA")</f>
        <v>227 BUGA</v>
      </c>
      <c r="B44" s="5" t="str">
        <f ca="1">IFERROR(__xludf.DUMMYFUNCTION("""COMPUTED_VALUE"""),"MC-227-007-2023")</f>
        <v>MC-227-007-2023</v>
      </c>
      <c r="C44" s="5" t="str">
        <f ca="1">IFERROR(__xludf.DUMMYFUNCTION("""COMPUTED_VALUE"""),"MÍNIMA CUANTÍA")</f>
        <v>MÍNIMA CUANTÍA</v>
      </c>
      <c r="D44" s="5" t="str">
        <f ca="1">IFERROR(__xludf.DUMMYFUNCTION("""COMPUTED_VALUE"""),"SUMINISTRO")</f>
        <v>SUMINISTRO</v>
      </c>
      <c r="E44" s="5" t="str">
        <f ca="1">IFERROR(__xludf.DUMMYFUNCTION("""COMPUTED_VALUE"""),"ALEJANDRO CORREA REINA - COPIRENT")</f>
        <v>ALEJANDRO CORREA REINA - COPIRENT</v>
      </c>
      <c r="F44" s="5" t="str">
        <f ca="1">IFERROR(__xludf.DUMMYFUNCTION("""COMPUTED_VALUE"""),"CONTRATAR LA ADQUISICION A PRECIOS UNITARIOS FIJOS DE ELEMENTOS DE PAPELERIA PARA LA IMPLEMENTACION Y DESARROLLO DEL SISTEMA INTEGRAL DE TRATAMIENTO PROGRESIVO PENITENCIARIO DE LA CPMSBUG")</f>
        <v>CONTRATAR LA ADQUISICION A PRECIOS UNITARIOS FIJOS DE ELEMENTOS DE PAPELERIA PARA LA IMPLEMENTACION Y DESARROLLO DEL SISTEMA INTEGRAL DE TRATAMIENTO PROGRESIVO PENITENCIARIO DE LA CPMSBUG</v>
      </c>
      <c r="G44" s="11">
        <f ca="1">IFERROR(__xludf.DUMMYFUNCTION("""COMPUTED_VALUE"""),22100000)</f>
        <v>22100000</v>
      </c>
      <c r="H44" s="5">
        <v>0</v>
      </c>
      <c r="I44" s="11">
        <f t="shared" ca="1" si="0"/>
        <v>22100000</v>
      </c>
      <c r="J44" s="6">
        <f ca="1">IFERROR(__xludf.DUMMYFUNCTION("""COMPUTED_VALUE"""),45014)</f>
        <v>45014</v>
      </c>
      <c r="K44" s="6">
        <f ca="1">IFERROR(__xludf.DUMMYFUNCTION("""COMPUTED_VALUE"""),45014)</f>
        <v>45014</v>
      </c>
      <c r="L44" s="5" t="s">
        <v>0</v>
      </c>
      <c r="M44" s="6">
        <f ca="1">IFERROR(__xludf.DUMMYFUNCTION("""COMPUTED_VALUE"""),45107)</f>
        <v>45107</v>
      </c>
      <c r="N44" s="5" t="str">
        <f ca="1">IFERROR(__xludf.DUMMYFUNCTION("""COMPUTED_VALUE"""),"A-03-03-01-018")</f>
        <v>A-03-03-01-018</v>
      </c>
      <c r="O44" s="5" t="s">
        <v>24</v>
      </c>
      <c r="P44" s="5">
        <v>10</v>
      </c>
      <c r="Q44" s="5" t="str">
        <f ca="1">IFERROR(__xludf.DUMMYFUNCTION("""COMPUTED_VALUE"""),"NACION")</f>
        <v>NACION</v>
      </c>
      <c r="R44" s="5" t="str">
        <f ca="1">+B44</f>
        <v>MC-227-007-2023</v>
      </c>
      <c r="S44" s="14" t="str">
        <f ca="1">IFERROR(__xludf.DUMMYFUNCTION("""COMPUTED_VALUE"""),"https://community.secop.gov.co/Public/Tendering/OpportunityDetail/Index?noticeUID=CO1.NTC.4183765&amp;isFromPublicArea=True&amp;isModal=False")</f>
        <v>https://community.secop.gov.co/Public/Tendering/OpportunityDetail/Index?noticeUID=CO1.NTC.4183765&amp;isFromPublicArea=True&amp;isModal=False</v>
      </c>
      <c r="T44" s="5" t="s">
        <v>0</v>
      </c>
    </row>
    <row r="45" spans="1:20" ht="15.75" customHeight="1">
      <c r="A45" s="5" t="str">
        <f ca="1">IFERROR(__xludf.DUMMYFUNCTION("""COMPUTED_VALUE"""),"227 BUGA")</f>
        <v>227 BUGA</v>
      </c>
      <c r="B45" s="5" t="str">
        <f ca="1">IFERROR(__xludf.DUMMYFUNCTION("""COMPUTED_VALUE"""),"SIE-227-001-2023")</f>
        <v>SIE-227-001-2023</v>
      </c>
      <c r="C45" s="5" t="str">
        <f ca="1">IFERROR(__xludf.DUMMYFUNCTION("""COMPUTED_VALUE"""),"SELECCIÓN ABREVIADA POR SUBASTA INVERSA")</f>
        <v>SELECCIÓN ABREVIADA POR SUBASTA INVERSA</v>
      </c>
      <c r="D45" s="5" t="str">
        <f ca="1">IFERROR(__xludf.DUMMYFUNCTION("""COMPUTED_VALUE"""),"SUMINISTRO")</f>
        <v>SUMINISTRO</v>
      </c>
      <c r="E45" s="5" t="str">
        <f ca="1">IFERROR(__xludf.DUMMYFUNCTION("""COMPUTED_VALUE"""),"SUMINISTROS MAYBE SAS")</f>
        <v>SUMINISTROS MAYBE SAS</v>
      </c>
      <c r="F45" s="5" t="str">
        <f ca="1">IFERROR(__xludf.DUMMYFUNCTION("""COMPUTED_VALUE"""),"CONTRATAR SUMINISTRO DE PRODUCTOS ALIMENTICIOS (SNACK, CAFÉ Y AZÚCAR, GALLETERÍA Y COMIDA PREPARADA), TABACO Y BEBIDAS, QUE ES REQUERIDA POR EL EXPENDIO, PARA SU RESPECTIVA COMERCIALIZACIÓN EN ARAS DE SATISFACER LAS NECESIDADES Y COBERTURA TOTAL DE LA POB"&amp;"LACIÓN RECLUSA DE LA CPMSBUG - LOTE 1. SUMINISTROS A PRECIOS UNITARIOS FIJOS DE CIGARRILLOS.")</f>
        <v>CONTRATAR SUMINISTRO DE PRODUCTOS ALIMENTICIOS (SNACK, CAFÉ Y AZÚCAR, GALLETERÍA Y COMIDA PREPARADA), TABACO Y BEBIDAS, QUE ES REQUERIDA POR EL EXPENDIO, PARA SU RESPECTIVA COMERCIALIZACIÓN EN ARAS DE SATISFACER LAS NECESIDADES Y COBERTURA TOTAL DE LA POBLACIÓN RECLUSA DE LA CPMSBUG - LOTE 1. SUMINISTROS A PRECIOS UNITARIOS FIJOS DE CIGARRILLOS.</v>
      </c>
      <c r="G45" s="11">
        <f ca="1">IFERROR(__xludf.DUMMYFUNCTION("""COMPUTED_VALUE"""),138254400)</f>
        <v>138254400</v>
      </c>
      <c r="H45" s="5">
        <v>0</v>
      </c>
      <c r="I45" s="11">
        <f t="shared" ca="1" si="0"/>
        <v>138254400</v>
      </c>
      <c r="J45" s="6">
        <f ca="1">IFERROR(__xludf.DUMMYFUNCTION("""COMPUTED_VALUE"""),45021)</f>
        <v>45021</v>
      </c>
      <c r="K45" s="6">
        <f ca="1">IFERROR(__xludf.DUMMYFUNCTION("""COMPUTED_VALUE"""),45030)</f>
        <v>45030</v>
      </c>
      <c r="L45" s="5" t="s">
        <v>0</v>
      </c>
      <c r="M45" s="6">
        <f ca="1">IFERROR(__xludf.DUMMYFUNCTION("""COMPUTED_VALUE"""),45289)</f>
        <v>45289</v>
      </c>
      <c r="N45" s="5" t="str">
        <f ca="1">IFERROR(__xludf.DUMMYFUNCTION("""COMPUTED_VALUE"""),"A-05-01-01-002-005")</f>
        <v>A-05-01-01-002-005</v>
      </c>
      <c r="O45" s="5" t="s">
        <v>23</v>
      </c>
      <c r="P45" s="5">
        <v>26</v>
      </c>
      <c r="Q45" s="5" t="str">
        <f ca="1">IFERROR(__xludf.DUMMYFUNCTION("""COMPUTED_VALUE"""),"PROPIOS")</f>
        <v>PROPIOS</v>
      </c>
      <c r="R45" s="5" t="str">
        <f t="shared" ref="R45:R49" ca="1" si="1">+B45</f>
        <v>SIE-227-001-2023</v>
      </c>
      <c r="S45" s="14" t="str">
        <f ca="1">IFERROR(__xludf.DUMMYFUNCTION("""COMPUTED_VALUE"""),"https://community.secop.gov.co/Public/Tendering/OpportunityDetail/Index?noticeUID=CO1.NTC.4180159&amp;isFromPublicArea=True&amp;isModal=False")</f>
        <v>https://community.secop.gov.co/Public/Tendering/OpportunityDetail/Index?noticeUID=CO1.NTC.4180159&amp;isFromPublicArea=True&amp;isModal=False</v>
      </c>
      <c r="T45" s="5" t="s">
        <v>0</v>
      </c>
    </row>
    <row r="46" spans="1:20" ht="15.75" customHeight="1">
      <c r="A46" s="5" t="str">
        <f ca="1">IFERROR(__xludf.DUMMYFUNCTION("""COMPUTED_VALUE"""),"227 BUGA")</f>
        <v>227 BUGA</v>
      </c>
      <c r="B46" s="5" t="str">
        <f ca="1">IFERROR(__xludf.DUMMYFUNCTION("""COMPUTED_VALUE"""),"SIE-227-001-2023")</f>
        <v>SIE-227-001-2023</v>
      </c>
      <c r="C46" s="5" t="str">
        <f ca="1">IFERROR(__xludf.DUMMYFUNCTION("""COMPUTED_VALUE"""),"SELECCIÓN ABREVIADA POR SUBASTA INVERSA")</f>
        <v>SELECCIÓN ABREVIADA POR SUBASTA INVERSA</v>
      </c>
      <c r="D46" s="5" t="str">
        <f ca="1">IFERROR(__xludf.DUMMYFUNCTION("""COMPUTED_VALUE"""),"SUMINISTRO")</f>
        <v>SUMINISTRO</v>
      </c>
      <c r="E46" s="5" t="str">
        <f ca="1">IFERROR(__xludf.DUMMYFUNCTION("""COMPUTED_VALUE"""),"DEICY BRAVO JOJOA")</f>
        <v>DEICY BRAVO JOJOA</v>
      </c>
      <c r="F46" s="5" t="str">
        <f ca="1">IFERROR(__xludf.DUMMYFUNCTION("""COMPUTED_VALUE"""),"CONTRATAR SUMINISTRO DE PRODUCTOS ALIMENTICIOS (SNACK, CAFÉ Y AZÚCAR, GALLETERÍA Y COMIDA PREPARADA), TABACO Y BEBIDAS, QUE ES REQUERIDA POR EL EXPENDIO, PARA SU RESPECTIVA COMERCIALIZACIÓN EN ARAS DE SATISFACER LAS NECESIDADES Y COBERTURA TOTAL DE LA POB"&amp;"LACIÓN RECLUSA DE LA CPMSBUG - LOTE 2. SUMINISTROS A PRECIOS UNITARIOS FIJOS DE SNACKS, ENTRE OTROS.")</f>
        <v>CONTRATAR SUMINISTRO DE PRODUCTOS ALIMENTICIOS (SNACK, CAFÉ Y AZÚCAR, GALLETERÍA Y COMIDA PREPARADA), TABACO Y BEBIDAS, QUE ES REQUERIDA POR EL EXPENDIO, PARA SU RESPECTIVA COMERCIALIZACIÓN EN ARAS DE SATISFACER LAS NECESIDADES Y COBERTURA TOTAL DE LA POBLACIÓN RECLUSA DE LA CPMSBUG - LOTE 2. SUMINISTROS A PRECIOS UNITARIOS FIJOS DE SNACKS, ENTRE OTROS.</v>
      </c>
      <c r="G46" s="11">
        <f ca="1">IFERROR(__xludf.DUMMYFUNCTION("""COMPUTED_VALUE"""),105314576)</f>
        <v>105314576</v>
      </c>
      <c r="H46" s="5">
        <v>0</v>
      </c>
      <c r="I46" s="11">
        <f t="shared" ca="1" si="0"/>
        <v>105314576</v>
      </c>
      <c r="J46" s="6">
        <f ca="1">IFERROR(__xludf.DUMMYFUNCTION("""COMPUTED_VALUE"""),45021)</f>
        <v>45021</v>
      </c>
      <c r="K46" s="6">
        <f ca="1">IFERROR(__xludf.DUMMYFUNCTION("""COMPUTED_VALUE"""),45030)</f>
        <v>45030</v>
      </c>
      <c r="L46" s="5" t="s">
        <v>0</v>
      </c>
      <c r="M46" s="6">
        <f ca="1">IFERROR(__xludf.DUMMYFUNCTION("""COMPUTED_VALUE"""),45289)</f>
        <v>45289</v>
      </c>
      <c r="N46" s="5" t="str">
        <f ca="1">IFERROR(__xludf.DUMMYFUNCTION("""COMPUTED_VALUE"""),"A-05-01-01-002-003")</f>
        <v>A-05-01-01-002-003</v>
      </c>
      <c r="O46" s="5" t="s">
        <v>22</v>
      </c>
      <c r="P46" s="5">
        <v>26</v>
      </c>
      <c r="Q46" s="5" t="str">
        <f ca="1">IFERROR(__xludf.DUMMYFUNCTION("""COMPUTED_VALUE"""),"PROPIOS")</f>
        <v>PROPIOS</v>
      </c>
      <c r="R46" s="5" t="str">
        <f t="shared" ca="1" si="1"/>
        <v>SIE-227-001-2023</v>
      </c>
      <c r="S46" s="14" t="str">
        <f ca="1">IFERROR(__xludf.DUMMYFUNCTION("""COMPUTED_VALUE"""),"https://community.secop.gov.co/Public/Tendering/OpportunityDetail/Index?noticeUID=CO1.NTC.4180159&amp;isFromPublicArea=True&amp;isModal=False")</f>
        <v>https://community.secop.gov.co/Public/Tendering/OpportunityDetail/Index?noticeUID=CO1.NTC.4180159&amp;isFromPublicArea=True&amp;isModal=False</v>
      </c>
      <c r="T46" s="5" t="s">
        <v>0</v>
      </c>
    </row>
    <row r="47" spans="1:20" ht="15.75" customHeight="1">
      <c r="A47" s="5" t="str">
        <f ca="1">IFERROR(__xludf.DUMMYFUNCTION("""COMPUTED_VALUE"""),"227 BUGA")</f>
        <v>227 BUGA</v>
      </c>
      <c r="B47" s="5" t="str">
        <f ca="1">IFERROR(__xludf.DUMMYFUNCTION("""COMPUTED_VALUE"""),"SIE-227-001-2023")</f>
        <v>SIE-227-001-2023</v>
      </c>
      <c r="C47" s="5" t="str">
        <f ca="1">IFERROR(__xludf.DUMMYFUNCTION("""COMPUTED_VALUE"""),"SELECCIÓN ABREVIADA POR SUBASTA INVERSA")</f>
        <v>SELECCIÓN ABREVIADA POR SUBASTA INVERSA</v>
      </c>
      <c r="D47" s="5" t="str">
        <f ca="1">IFERROR(__xludf.DUMMYFUNCTION("""COMPUTED_VALUE"""),"SUMINISTRO")</f>
        <v>SUMINISTRO</v>
      </c>
      <c r="E47" s="5" t="str">
        <f ca="1">IFERROR(__xludf.DUMMYFUNCTION("""COMPUTED_VALUE"""),"DEICY BRAVO JOJOA")</f>
        <v>DEICY BRAVO JOJOA</v>
      </c>
      <c r="F47" s="5" t="str">
        <f ca="1">IFERROR(__xludf.DUMMYFUNCTION("""COMPUTED_VALUE"""),"CONTRATAR SUMINISTRO DE PRODUCTOS ALIMENTICIOS (SNACK, CAFÉ Y AZÚCAR, GALLETERÍA Y COMIDA PREPARADA), TABACO Y BEBIDAS, QUE ES REQUERIDA POR EL EXPENDIO, PARA SU RESPECTIVA COMERCIALIZACIÓN EN ARAS DE SATISFACER LAS NECESIDADES Y COBERTURA TOTAL DE LA POB"&amp;"LACIÓN RECLUSA DE LA CPMSBUG - LOTE 4. SUMINISTROS A PRECIOS UNITARIOS FIJOS DE GALLETERIA ENTRE OTROS.")</f>
        <v>CONTRATAR SUMINISTRO DE PRODUCTOS ALIMENTICIOS (SNACK, CAFÉ Y AZÚCAR, GALLETERÍA Y COMIDA PREPARADA), TABACO Y BEBIDAS, QUE ES REQUERIDA POR EL EXPENDIO, PARA SU RESPECTIVA COMERCIALIZACIÓN EN ARAS DE SATISFACER LAS NECESIDADES Y COBERTURA TOTAL DE LA POBLACIÓN RECLUSA DE LA CPMSBUG - LOTE 4. SUMINISTROS A PRECIOS UNITARIOS FIJOS DE GALLETERIA ENTRE OTROS.</v>
      </c>
      <c r="G47" s="11">
        <f ca="1">IFERROR(__xludf.DUMMYFUNCTION("""COMPUTED_VALUE"""),100000000)</f>
        <v>100000000</v>
      </c>
      <c r="H47" s="5">
        <v>0</v>
      </c>
      <c r="I47" s="11">
        <f t="shared" ca="1" si="0"/>
        <v>100000000</v>
      </c>
      <c r="J47" s="6">
        <f ca="1">IFERROR(__xludf.DUMMYFUNCTION("""COMPUTED_VALUE"""),45021)</f>
        <v>45021</v>
      </c>
      <c r="K47" s="6">
        <f ca="1">IFERROR(__xludf.DUMMYFUNCTION("""COMPUTED_VALUE"""),45030)</f>
        <v>45030</v>
      </c>
      <c r="L47" s="5" t="s">
        <v>0</v>
      </c>
      <c r="M47" s="6">
        <f ca="1">IFERROR(__xludf.DUMMYFUNCTION("""COMPUTED_VALUE"""),45289)</f>
        <v>45289</v>
      </c>
      <c r="N47" s="5" t="str">
        <f ca="1">IFERROR(__xludf.DUMMYFUNCTION("""COMPUTED_VALUE"""),"A-05-01-01-002-003")</f>
        <v>A-05-01-01-002-003</v>
      </c>
      <c r="O47" s="5" t="s">
        <v>22</v>
      </c>
      <c r="P47" s="5">
        <v>26</v>
      </c>
      <c r="Q47" s="5" t="str">
        <f ca="1">IFERROR(__xludf.DUMMYFUNCTION("""COMPUTED_VALUE"""),"PROPIOS")</f>
        <v>PROPIOS</v>
      </c>
      <c r="R47" s="5" t="str">
        <f t="shared" ca="1" si="1"/>
        <v>SIE-227-001-2023</v>
      </c>
      <c r="S47" s="14" t="str">
        <f ca="1">IFERROR(__xludf.DUMMYFUNCTION("""COMPUTED_VALUE"""),"https://community.secop.gov.co/Public/Tendering/OpportunityDetail/Index?noticeUID=CO1.NTC.4180159&amp;isFromPublicArea=True&amp;isModal=False")</f>
        <v>https://community.secop.gov.co/Public/Tendering/OpportunityDetail/Index?noticeUID=CO1.NTC.4180159&amp;isFromPublicArea=True&amp;isModal=False</v>
      </c>
      <c r="T47" s="5" t="s">
        <v>0</v>
      </c>
    </row>
    <row r="48" spans="1:20" ht="15.75" customHeight="1">
      <c r="A48" s="5" t="str">
        <f ca="1">IFERROR(__xludf.DUMMYFUNCTION("""COMPUTED_VALUE"""),"227 BUGA")</f>
        <v>227 BUGA</v>
      </c>
      <c r="B48" s="5" t="str">
        <f ca="1">IFERROR(__xludf.DUMMYFUNCTION("""COMPUTED_VALUE"""),"SIE-227-001-2023")</f>
        <v>SIE-227-001-2023</v>
      </c>
      <c r="C48" s="5" t="str">
        <f ca="1">IFERROR(__xludf.DUMMYFUNCTION("""COMPUTED_VALUE"""),"SELECCIÓN ABREVIADA POR SUBASTA INVERSA")</f>
        <v>SELECCIÓN ABREVIADA POR SUBASTA INVERSA</v>
      </c>
      <c r="D48" s="5" t="str">
        <f ca="1">IFERROR(__xludf.DUMMYFUNCTION("""COMPUTED_VALUE"""),"SUMINISTRO")</f>
        <v>SUMINISTRO</v>
      </c>
      <c r="E48" s="5" t="str">
        <f ca="1">IFERROR(__xludf.DUMMYFUNCTION("""COMPUTED_VALUE"""),"SUPRISA SAS")</f>
        <v>SUPRISA SAS</v>
      </c>
      <c r="F48" s="5" t="str">
        <f ca="1">IFERROR(__xludf.DUMMYFUNCTION("""COMPUTED_VALUE"""),"CONTRATAR SUMINISTRO DE PRODUCTOS ALIMENTICIOS (SNACK, CAFÉ Y AZÚCAR, GALLETERÍA Y COMIDA PREPARADA), TABACO Y BEBIDAS, QUE ES REQUERIDA POR EL EXPENDIO, PARA SU RESPECTIVA COMERCIALIZACIÓN EN ARAS DE SATISFACER LAS NECESIDADES Y COBERTURA TOTAL DE LA POB"&amp;"LACIÓN RECLUSA DE LA CPMSBUG - LOTE 6. SUMINISTROS A PRECIOS UNITARIOS FIJOS DE CAFE Y AZUCAR ENTRE OTROS.")</f>
        <v>CONTRATAR SUMINISTRO DE PRODUCTOS ALIMENTICIOS (SNACK, CAFÉ Y AZÚCAR, GALLETERÍA Y COMIDA PREPARADA), TABACO Y BEBIDAS, QUE ES REQUERIDA POR EL EXPENDIO, PARA SU RESPECTIVA COMERCIALIZACIÓN EN ARAS DE SATISFACER LAS NECESIDADES Y COBERTURA TOTAL DE LA POBLACIÓN RECLUSA DE LA CPMSBUG - LOTE 6. SUMINISTROS A PRECIOS UNITARIOS FIJOS DE CAFE Y AZUCAR ENTRE OTROS.</v>
      </c>
      <c r="G48" s="11">
        <f ca="1">IFERROR(__xludf.DUMMYFUNCTION("""COMPUTED_VALUE"""),60000000)</f>
        <v>60000000</v>
      </c>
      <c r="H48" s="5">
        <v>0</v>
      </c>
      <c r="I48" s="11">
        <f t="shared" ca="1" si="0"/>
        <v>60000000</v>
      </c>
      <c r="J48" s="6">
        <f ca="1">IFERROR(__xludf.DUMMYFUNCTION("""COMPUTED_VALUE"""),45021)</f>
        <v>45021</v>
      </c>
      <c r="K48" s="6">
        <f ca="1">IFERROR(__xludf.DUMMYFUNCTION("""COMPUTED_VALUE"""),45030)</f>
        <v>45030</v>
      </c>
      <c r="L48" s="5" t="s">
        <v>0</v>
      </c>
      <c r="M48" s="6">
        <f ca="1">IFERROR(__xludf.DUMMYFUNCTION("""COMPUTED_VALUE"""),45289)</f>
        <v>45289</v>
      </c>
      <c r="N48" s="5" t="str">
        <f ca="1">IFERROR(__xludf.DUMMYFUNCTION("""COMPUTED_VALUE"""),"A-05-01-01-002-003")</f>
        <v>A-05-01-01-002-003</v>
      </c>
      <c r="O48" s="5" t="s">
        <v>21</v>
      </c>
      <c r="P48" s="5">
        <v>26</v>
      </c>
      <c r="Q48" s="5" t="str">
        <f ca="1">IFERROR(__xludf.DUMMYFUNCTION("""COMPUTED_VALUE"""),"PROPIOS")</f>
        <v>PROPIOS</v>
      </c>
      <c r="R48" s="5" t="str">
        <f t="shared" ca="1" si="1"/>
        <v>SIE-227-001-2023</v>
      </c>
      <c r="S48" s="14" t="str">
        <f ca="1">IFERROR(__xludf.DUMMYFUNCTION("""COMPUTED_VALUE"""),"https://community.secop.gov.co/Public/Tendering/OpportunityDetail/Index?noticeUID=CO1.NTC.4180159&amp;isFromPublicArea=True&amp;isModal=False")</f>
        <v>https://community.secop.gov.co/Public/Tendering/OpportunityDetail/Index?noticeUID=CO1.NTC.4180159&amp;isFromPublicArea=True&amp;isModal=False</v>
      </c>
      <c r="T48" s="5" t="s">
        <v>0</v>
      </c>
    </row>
    <row r="49" spans="1:20" ht="15.75" customHeight="1">
      <c r="A49" s="5" t="str">
        <f ca="1">IFERROR(__xludf.DUMMYFUNCTION("""COMPUTED_VALUE"""),"227 BUGA")</f>
        <v>227 BUGA</v>
      </c>
      <c r="B49" s="5" t="str">
        <f ca="1">IFERROR(__xludf.DUMMYFUNCTION("""COMPUTED_VALUE"""),"MC-227-008-2023")</f>
        <v>MC-227-008-2023</v>
      </c>
      <c r="C49" s="5" t="str">
        <f ca="1">IFERROR(__xludf.DUMMYFUNCTION("""COMPUTED_VALUE"""),"MÍNIMA CUANTÍA")</f>
        <v>MÍNIMA CUANTÍA</v>
      </c>
      <c r="D49" s="5" t="str">
        <f ca="1">IFERROR(__xludf.DUMMYFUNCTION("""COMPUTED_VALUE"""),"SUMINISTRO")</f>
        <v>SUMINISTRO</v>
      </c>
      <c r="E49" s="5" t="str">
        <f ca="1">IFERROR(__xludf.DUMMYFUNCTION("""COMPUTED_VALUE"""),"LUISA MARIA VARGAS - UNIVERSO TECNOLOGICO COLOMBIA")</f>
        <v>LUISA MARIA VARGAS - UNIVERSO TECNOLOGICO COLOMBIA</v>
      </c>
      <c r="F49" s="5" t="str">
        <f ca="1">IFERROR(__xludf.DUMMYFUNCTION("""COMPUTED_VALUE"""),"CONTRATAR LA ADQUISICION A PRECIOS UNITARIOS FIJOS DE ELEMENTOS DE PAPELERIA Y OTROS PARA EL FORTALECIMIENTO DEL PROGRAMA DELINQUIR NO PAGA DE LA CPMSBUG")</f>
        <v>CONTRATAR LA ADQUISICION A PRECIOS UNITARIOS FIJOS DE ELEMENTOS DE PAPELERIA Y OTROS PARA EL FORTALECIMIENTO DEL PROGRAMA DELINQUIR NO PAGA DE LA CPMSBUG</v>
      </c>
      <c r="G49" s="11">
        <f ca="1">IFERROR(__xludf.DUMMYFUNCTION("""COMPUTED_VALUE"""),3000000)</f>
        <v>3000000</v>
      </c>
      <c r="H49" s="5">
        <v>0</v>
      </c>
      <c r="I49" s="11">
        <f t="shared" ca="1" si="0"/>
        <v>3000000</v>
      </c>
      <c r="J49" s="6">
        <f ca="1">IFERROR(__xludf.DUMMYFUNCTION("""COMPUTED_VALUE"""),45042)</f>
        <v>45042</v>
      </c>
      <c r="K49" s="6">
        <f ca="1">IFERROR(__xludf.DUMMYFUNCTION("""COMPUTED_VALUE"""),45042)</f>
        <v>45042</v>
      </c>
      <c r="L49" s="5" t="s">
        <v>0</v>
      </c>
      <c r="M49" s="6">
        <f ca="1">IFERROR(__xludf.DUMMYFUNCTION("""COMPUTED_VALUE"""),45107)</f>
        <v>45107</v>
      </c>
      <c r="N49" s="5" t="str">
        <f ca="1">IFERROR(__xludf.DUMMYFUNCTION("""COMPUTED_VALUE"""),"A-03-03-01-018")</f>
        <v>A-03-03-01-018</v>
      </c>
      <c r="O49" s="5" t="s">
        <v>20</v>
      </c>
      <c r="P49" s="5">
        <v>10</v>
      </c>
      <c r="Q49" s="5" t="str">
        <f ca="1">IFERROR(__xludf.DUMMYFUNCTION("""COMPUTED_VALUE"""),"NACION")</f>
        <v>NACION</v>
      </c>
      <c r="R49" s="5" t="str">
        <f t="shared" ca="1" si="1"/>
        <v>MC-227-008-2023</v>
      </c>
      <c r="S49" s="14" t="str">
        <f ca="1">IFERROR(__xludf.DUMMYFUNCTION("""COMPUTED_VALUE"""),"https://community.secop.gov.co/Public/Tendering/OpportunityDetail/Index?noticeUID=CO1.NTC.4313440&amp;isFromPublicArea=True&amp;isModal=False")</f>
        <v>https://community.secop.gov.co/Public/Tendering/OpportunityDetail/Index?noticeUID=CO1.NTC.4313440&amp;isFromPublicArea=True&amp;isModal=False</v>
      </c>
      <c r="T49" s="5" t="s">
        <v>0</v>
      </c>
    </row>
    <row r="50" spans="1:20" ht="15.75" customHeight="1">
      <c r="A50" s="5" t="str">
        <f ca="1">IFERROR(__xludf.DUMMYFUNCTION("""COMPUTED_VALUE"""),"228 BUENAVENTURA")</f>
        <v>228 BUENAVENTURA</v>
      </c>
      <c r="B50" s="5" t="str">
        <f ca="1">IFERROR(__xludf.DUMMYFUNCTION("""COMPUTED_VALUE"""),"108191")</f>
        <v>108191</v>
      </c>
      <c r="C50" s="5" t="str">
        <f ca="1">IFERROR(__xludf.DUMMYFUNCTION("""COMPUTED_VALUE"""),"GRANDES SUPERFICIES")</f>
        <v>GRANDES SUPERFICIES</v>
      </c>
      <c r="D50" s="5" t="str">
        <f ca="1">IFERROR(__xludf.DUMMYFUNCTION("""COMPUTED_VALUE"""),"SUMINISTRO")</f>
        <v>SUMINISTRO</v>
      </c>
      <c r="E50" s="5" t="str">
        <f ca="1">IFERROR(__xludf.DUMMYFUNCTION("""COMPUTED_VALUE"""),"FERRICENTROS SAS")</f>
        <v>FERRICENTROS SAS</v>
      </c>
      <c r="F50" s="5" t="str">
        <f ca="1">IFERROR(__xludf.DUMMYFUNCTION("""COMPUTED_VALUE"""),"ADQUISICIÓN DE ELEMENTOS DE PAPELERÍA, ÚTILES DE ESCRITORIO Y OFICINA PARA EL DESARROLLO DE PROGRAMAS CET, JETTE Y PSICOSOCIALAES DIRIGIDOS A LA PPL DEL EPMSC BUENAVENTURA.")</f>
        <v>ADQUISICIÓN DE ELEMENTOS DE PAPELERÍA, ÚTILES DE ESCRITORIO Y OFICINA PARA EL DESARROLLO DE PROGRAMAS CET, JETTE Y PSICOSOCIALAES DIRIGIDOS A LA PPL DEL EPMSC BUENAVENTURA.</v>
      </c>
      <c r="G50" s="11">
        <f ca="1">IFERROR(__xludf.DUMMYFUNCTION("""COMPUTED_VALUE"""),8200000)</f>
        <v>8200000</v>
      </c>
      <c r="H50" s="5">
        <v>0</v>
      </c>
      <c r="I50" s="11">
        <f t="shared" ca="1" si="0"/>
        <v>8200000</v>
      </c>
      <c r="J50" s="6">
        <f ca="1">IFERROR(__xludf.DUMMYFUNCTION("""COMPUTED_VALUE"""),45037)</f>
        <v>45037</v>
      </c>
      <c r="K50" s="6">
        <f ca="1">IFERROR(__xludf.DUMMYFUNCTION("""COMPUTED_VALUE"""),45044)</f>
        <v>45044</v>
      </c>
      <c r="L50" s="5" t="s">
        <v>0</v>
      </c>
      <c r="M50" s="6">
        <f ca="1">IFERROR(__xludf.DUMMYFUNCTION("""COMPUTED_VALUE"""),45169)</f>
        <v>45169</v>
      </c>
      <c r="N50" s="5" t="str">
        <f ca="1">IFERROR(__xludf.DUMMYFUNCTION("""COMPUTED_VALUE"""),"A-03-03-01-018")</f>
        <v>A-03-03-01-018</v>
      </c>
      <c r="O50" s="5" t="s">
        <v>14</v>
      </c>
      <c r="P50" s="5" t="str">
        <f ca="1">IFERROR(__xludf.DUMMYFUNCTION("""COMPUTED_VALUE"""),"10")</f>
        <v>10</v>
      </c>
      <c r="Q50" s="5" t="str">
        <f ca="1">IFERROR(__xludf.DUMMYFUNCTION("""COMPUTED_VALUE"""),"NACION")</f>
        <v>NACION</v>
      </c>
      <c r="R50" s="5" t="str">
        <f ca="1">IFERROR(__xludf.DUMMYFUNCTION("""COMPUTED_VALUE"""),"108191")</f>
        <v>108191</v>
      </c>
      <c r="S50" s="14" t="s">
        <v>81</v>
      </c>
      <c r="T50" s="5" t="s">
        <v>0</v>
      </c>
    </row>
    <row r="51" spans="1:20" ht="15.75" customHeight="1">
      <c r="A51" s="5" t="str">
        <f ca="1">IFERROR(__xludf.DUMMYFUNCTION("""COMPUTED_VALUE"""),"228 BUENAVENTURA")</f>
        <v>228 BUENAVENTURA</v>
      </c>
      <c r="B51" s="5" t="str">
        <f ca="1">IFERROR(__xludf.DUMMYFUNCTION("""COMPUTED_VALUE"""),"228-MC-003-2023")</f>
        <v>228-MC-003-2023</v>
      </c>
      <c r="C51" s="5" t="str">
        <f ca="1">IFERROR(__xludf.DUMMYFUNCTION("""COMPUTED_VALUE"""),"MÍNIMA CUANTÍA")</f>
        <v>MÍNIMA CUANTÍA</v>
      </c>
      <c r="D51" s="5" t="str">
        <f ca="1">IFERROR(__xludf.DUMMYFUNCTION("""COMPUTED_VALUE"""),"SUMINISTRO")</f>
        <v>SUMINISTRO</v>
      </c>
      <c r="E51" s="5" t="str">
        <f ca="1">IFERROR(__xludf.DUMMYFUNCTION("""COMPUTED_VALUE"""),"INDUSTRIA NACIONAL DE GASEOSAS S.A.")</f>
        <v>INDUSTRIA NACIONAL DE GASEOSAS S.A.</v>
      </c>
      <c r="F51" s="5" t="str">
        <f ca="1">IFERROR(__xludf.DUMMYFUNCTION("""COMPUTED_VALUE"""),"SUMINISTRO DE GASEOSAS, JUGOS, AGUAS MINERALES EMBOTELLADAS PARA SU COMERCIALIZACIÓN A TRAVÉS DEL EXPENDIO DEL EPMSC BUENAVENTURA")</f>
        <v>SUMINISTRO DE GASEOSAS, JUGOS, AGUAS MINERALES EMBOTELLADAS PARA SU COMERCIALIZACIÓN A TRAVÉS DEL EXPENDIO DEL EPMSC BUENAVENTURA</v>
      </c>
      <c r="G51" s="11">
        <f ca="1">IFERROR(__xludf.DUMMYFUNCTION("""COMPUTED_VALUE"""),17031496)</f>
        <v>17031496</v>
      </c>
      <c r="H51" s="5">
        <v>0</v>
      </c>
      <c r="I51" s="11">
        <f t="shared" ca="1" si="0"/>
        <v>17031496</v>
      </c>
      <c r="J51" s="6">
        <f ca="1">IFERROR(__xludf.DUMMYFUNCTION("""COMPUTED_VALUE"""),45035)</f>
        <v>45035</v>
      </c>
      <c r="K51" s="6">
        <f ca="1">IFERROR(__xludf.DUMMYFUNCTION("""COMPUTED_VALUE"""),45044)</f>
        <v>45044</v>
      </c>
      <c r="L51" s="5" t="s">
        <v>0</v>
      </c>
      <c r="M51" s="6">
        <f ca="1">IFERROR(__xludf.DUMMYFUNCTION("""COMPUTED_VALUE"""),45291)</f>
        <v>45291</v>
      </c>
      <c r="N51" s="5" t="str">
        <f ca="1">IFERROR(__xludf.DUMMYFUNCTION("""COMPUTED_VALUE"""),"A-05-01-01-002-004")</f>
        <v>A-05-01-01-002-004</v>
      </c>
      <c r="O51" s="5" t="s">
        <v>13</v>
      </c>
      <c r="P51" s="5" t="str">
        <f ca="1">IFERROR(__xludf.DUMMYFUNCTION("""COMPUTED_VALUE"""),"26")</f>
        <v>26</v>
      </c>
      <c r="Q51" s="5" t="str">
        <f ca="1">IFERROR(__xludf.DUMMYFUNCTION("""COMPUTED_VALUE"""),"PROPIOS")</f>
        <v>PROPIOS</v>
      </c>
      <c r="R51" s="5" t="str">
        <f ca="1">IFERROR(__xludf.DUMMYFUNCTION("""COMPUTED_VALUE"""),"BDOS.4306631")</f>
        <v>BDOS.4306631</v>
      </c>
      <c r="S51" s="14" t="str">
        <f ca="1">IFERROR(__xludf.DUMMYFUNCTION("""COMPUTED_VALUE"""),"https://www.secop.gov.co/CO1BusinessLine/Tendering/BuyerWorkArea/Index?DocUniqueIdentifier=CO1.BDOS.4306631")</f>
        <v>https://www.secop.gov.co/CO1BusinessLine/Tendering/BuyerWorkArea/Index?DocUniqueIdentifier=CO1.BDOS.4306631</v>
      </c>
      <c r="T51" s="5" t="s">
        <v>0</v>
      </c>
    </row>
    <row r="52" spans="1:20" ht="15.75" customHeight="1">
      <c r="A52" s="5" t="str">
        <f ca="1">IFERROR(__xludf.DUMMYFUNCTION("""COMPUTED_VALUE"""),"233 TULUA")</f>
        <v>233 TULUA</v>
      </c>
      <c r="B52" s="5" t="str">
        <f ca="1">IFERROR(__xludf.DUMMYFUNCTION("""COMPUTED_VALUE"""),"107558")</f>
        <v>107558</v>
      </c>
      <c r="C52" s="5" t="str">
        <f ca="1">IFERROR(__xludf.DUMMYFUNCTION("""COMPUTED_VALUE"""),"MÍNIMA CUANTÍA")</f>
        <v>MÍNIMA CUANTÍA</v>
      </c>
      <c r="D52" s="5" t="str">
        <f ca="1">IFERROR(__xludf.DUMMYFUNCTION("""COMPUTED_VALUE"""),"SUMINISTRO")</f>
        <v>SUMINISTRO</v>
      </c>
      <c r="E52" s="5" t="str">
        <f ca="1">IFERROR(__xludf.DUMMYFUNCTION("""COMPUTED_VALUE"""),"PANAMERICANA LIBRERIA Y PAPELERIA")</f>
        <v>PANAMERICANA LIBRERIA Y PAPELERIA</v>
      </c>
      <c r="F52" s="5" t="str">
        <f ca="1">IFERROR(__xludf.DUMMYFUNCTION("""COMPUTED_VALUE"""),"CONTRATAR A TRAVÉS DE LA TIENDA VIRTUAL DEL ESTADO COLOMBIANO (TVEC), LA ADQUISICIÓN DE HERRAMIENTAS DE APOYO AUDIOVISUAL Y PAPELERÍA PARA EL FORTALECIMIENTO DEL PROGRAMA DELINQUIR NO PAGA IMPLEMENTADO EN LA CARCEL Y PENITENCIARIA DE MEDIA SEGURIDAD CPMS "&amp;"– TULUA, VALLE DEL CAUCA")</f>
        <v>CONTRATAR A TRAVÉS DE LA TIENDA VIRTUAL DEL ESTADO COLOMBIANO (TVEC), LA ADQUISICIÓN DE HERRAMIENTAS DE APOYO AUDIOVISUAL Y PAPELERÍA PARA EL FORTALECIMIENTO DEL PROGRAMA DELINQUIR NO PAGA IMPLEMENTADO EN LA CARCEL Y PENITENCIARIA DE MEDIA SEGURIDAD CPMS – TULUA, VALLE DEL CAUCA</v>
      </c>
      <c r="G52" s="11">
        <f ca="1">IFERROR(__xludf.DUMMYFUNCTION("""COMPUTED_VALUE"""),3000000)</f>
        <v>3000000</v>
      </c>
      <c r="H52" s="5">
        <v>0</v>
      </c>
      <c r="I52" s="11">
        <f t="shared" ca="1" si="0"/>
        <v>3000000</v>
      </c>
      <c r="J52" s="6">
        <f ca="1">IFERROR(__xludf.DUMMYFUNCTION("""COMPUTED_VALUE"""),45028)</f>
        <v>45028</v>
      </c>
      <c r="K52" s="6">
        <f ca="1">IFERROR(__xludf.DUMMYFUNCTION("""COMPUTED_VALUE"""),45030)</f>
        <v>45030</v>
      </c>
      <c r="L52" s="5" t="s">
        <v>0</v>
      </c>
      <c r="M52" s="6">
        <f ca="1">IFERROR(__xludf.DUMMYFUNCTION("""COMPUTED_VALUE"""),45282)</f>
        <v>45282</v>
      </c>
      <c r="N52" s="5" t="str">
        <f ca="1">IFERROR(__xludf.DUMMYFUNCTION("""COMPUTED_VALUE"""),"A-03-03-01-018")</f>
        <v>A-03-03-01-018</v>
      </c>
      <c r="O52" s="5" t="s">
        <v>10</v>
      </c>
      <c r="P52" s="5" t="str">
        <f ca="1">IFERROR(__xludf.DUMMYFUNCTION("""COMPUTED_VALUE"""),"10")</f>
        <v>10</v>
      </c>
      <c r="Q52" s="5" t="str">
        <f ca="1">IFERROR(__xludf.DUMMYFUNCTION("""COMPUTED_VALUE"""),"NACION")</f>
        <v>NACION</v>
      </c>
      <c r="R52" s="5" t="str">
        <f ca="1">IFERROR(__xludf.DUMMYFUNCTION("""COMPUTED_VALUE"""),"107558")</f>
        <v>107558</v>
      </c>
      <c r="S52" s="14" t="str">
        <f ca="1">IFERROR(__xludf.DUMMYFUNCTION("""COMPUTED_VALUE"""),"https://www.colombiacompra.gov.co/tienda-virtual-del-estado-colombiano/ordenes-compra/107558")</f>
        <v>https://www.colombiacompra.gov.co/tienda-virtual-del-estado-colombiano/ordenes-compra/107558</v>
      </c>
      <c r="T52" s="5" t="s">
        <v>0</v>
      </c>
    </row>
    <row r="53" spans="1:20" ht="15.75" customHeight="1">
      <c r="A53" s="5" t="str">
        <f ca="1">IFERROR(__xludf.DUMMYFUNCTION("""COMPUTED_VALUE"""),"233 TULUA")</f>
        <v>233 TULUA</v>
      </c>
      <c r="B53" s="5" t="str">
        <f ca="1">IFERROR(__xludf.DUMMYFUNCTION("""COMPUTED_VALUE"""),"108093")</f>
        <v>108093</v>
      </c>
      <c r="C53" s="5" t="str">
        <f ca="1">IFERROR(__xludf.DUMMYFUNCTION("""COMPUTED_VALUE"""),"MÍNIMA CUANTÍA")</f>
        <v>MÍNIMA CUANTÍA</v>
      </c>
      <c r="D53" s="5" t="str">
        <f ca="1">IFERROR(__xludf.DUMMYFUNCTION("""COMPUTED_VALUE"""),"SUMINISTRO")</f>
        <v>SUMINISTRO</v>
      </c>
      <c r="E53" s="5" t="str">
        <f ca="1">IFERROR(__xludf.DUMMYFUNCTION("""COMPUTED_VALUE"""),"PANAMERICANA LIBRERIA Y PAPELERIA")</f>
        <v>PANAMERICANA LIBRERIA Y PAPELERIA</v>
      </c>
      <c r="F53" s="5" t="str">
        <f ca="1">IFERROR(__xludf.DUMMYFUNCTION("""COMPUTED_VALUE"""),"CONTRATAR A TRAVÉS DE LA TIENDA VIRTUAL DEL ESTADO COLOMBIANO (TVC), LA ADQUISICIÓN DE MATERIAL DIDÁCTICO E INSUMOS PARA EL PROGRAMA DE EDUCACIÓN FORMAL DE LAS PERSONAS PRIVADAS DE LA LIBERTAD DE LA CPMS TULUA")</f>
        <v>CONTRATAR A TRAVÉS DE LA TIENDA VIRTUAL DEL ESTADO COLOMBIANO (TVC), LA ADQUISICIÓN DE MATERIAL DIDÁCTICO E INSUMOS PARA EL PROGRAMA DE EDUCACIÓN FORMAL DE LAS PERSONAS PRIVADAS DE LA LIBERTAD DE LA CPMS TULUA</v>
      </c>
      <c r="G53" s="11">
        <f ca="1">IFERROR(__xludf.DUMMYFUNCTION("""COMPUTED_VALUE"""),15000000)</f>
        <v>15000000</v>
      </c>
      <c r="H53" s="5">
        <v>0</v>
      </c>
      <c r="I53" s="11">
        <f t="shared" ca="1" si="0"/>
        <v>15000000</v>
      </c>
      <c r="J53" s="6">
        <f ca="1">IFERROR(__xludf.DUMMYFUNCTION("""COMPUTED_VALUE"""),45036)</f>
        <v>45036</v>
      </c>
      <c r="K53" s="6">
        <f ca="1">IFERROR(__xludf.DUMMYFUNCTION("""COMPUTED_VALUE"""),45040)</f>
        <v>45040</v>
      </c>
      <c r="L53" s="5" t="s">
        <v>0</v>
      </c>
      <c r="M53" s="6">
        <f ca="1">IFERROR(__xludf.DUMMYFUNCTION("""COMPUTED_VALUE"""),45282)</f>
        <v>45282</v>
      </c>
      <c r="N53" s="5" t="str">
        <f ca="1">IFERROR(__xludf.DUMMYFUNCTION("""COMPUTED_VALUE"""),"A-03-03-01-017")</f>
        <v>A-03-03-01-017</v>
      </c>
      <c r="O53" s="5" t="s">
        <v>10</v>
      </c>
      <c r="P53" s="5" t="str">
        <f ca="1">IFERROR(__xludf.DUMMYFUNCTION("""COMPUTED_VALUE"""),"10")</f>
        <v>10</v>
      </c>
      <c r="Q53" s="5" t="str">
        <f ca="1">IFERROR(__xludf.DUMMYFUNCTION("""COMPUTED_VALUE"""),"NACION")</f>
        <v>NACION</v>
      </c>
      <c r="R53" s="5" t="str">
        <f ca="1">IFERROR(__xludf.DUMMYFUNCTION("""COMPUTED_VALUE"""),"108093")</f>
        <v>108093</v>
      </c>
      <c r="S53" s="14" t="str">
        <f ca="1">IFERROR(__xludf.DUMMYFUNCTION("""COMPUTED_VALUE"""),"https://www.colombiacompra.gov.co/tienda-virtual-del-estado-colombiano/ordenes-compra/108093")</f>
        <v>https://www.colombiacompra.gov.co/tienda-virtual-del-estado-colombiano/ordenes-compra/108093</v>
      </c>
      <c r="T53" s="5" t="s">
        <v>0</v>
      </c>
    </row>
    <row r="54" spans="1:20" ht="15.75" customHeight="1">
      <c r="A54" s="5" t="str">
        <f ca="1">IFERROR(__xludf.DUMMYFUNCTION("""COMPUTED_VALUE"""),"233 TULUA")</f>
        <v>233 TULUA</v>
      </c>
      <c r="B54" s="5" t="str">
        <f ca="1">IFERROR(__xludf.DUMMYFUNCTION("""COMPUTED_VALUE"""),"108653")</f>
        <v>108653</v>
      </c>
      <c r="C54" s="5" t="str">
        <f ca="1">IFERROR(__xludf.DUMMYFUNCTION("""COMPUTED_VALUE"""),"MÍNIMA CUANTÍA")</f>
        <v>MÍNIMA CUANTÍA</v>
      </c>
      <c r="D54" s="5" t="str">
        <f ca="1">IFERROR(__xludf.DUMMYFUNCTION("""COMPUTED_VALUE"""),"SUMINISTRO")</f>
        <v>SUMINISTRO</v>
      </c>
      <c r="E54" s="5" t="str">
        <f ca="1">IFERROR(__xludf.DUMMYFUNCTION("""COMPUTED_VALUE"""),"LA RECETTA")</f>
        <v>LA RECETTA</v>
      </c>
      <c r="F54" s="5" t="str">
        <f ca="1">IFERROR(__xludf.DUMMYFUNCTION("""COMPUTED_VALUE"""),"CONTRATAR A TRAVÉS DE LA TIENDA VIRTUAL DEL ESTADO COLOMBIANO TVEC, LA ADQUISICIÓN DE MATERIA PRIMA E INSUMOS (PRODUCTOS DE MOLINERIA, ALMIDONES Y PRODUCTOS DERIVADOS DEL ALMIDON) PARA LA ELABORACION DE PRODUCTOS DE PANIFICACION DEL PROYECTO PRODUCTIVO DE"&amp;" PANADERIA DE LA CARCEL Y PENITENCIARIA DE MEDIA SEGURIDAD CPMS TULUA")</f>
        <v>CONTRATAR A TRAVÉS DE LA TIENDA VIRTUAL DEL ESTADO COLOMBIANO TVEC, LA ADQUISICIÓN DE MATERIA PRIMA E INSUMOS (PRODUCTOS DE MOLINERIA, ALMIDONES Y PRODUCTOS DERIVADOS DEL ALMIDON) PARA LA ELABORACION DE PRODUCTOS DE PANIFICACION DEL PROYECTO PRODUCTIVO DE PANADERIA DE LA CARCEL Y PENITENCIARIA DE MEDIA SEGURIDAD CPMS TULUA</v>
      </c>
      <c r="G54" s="11">
        <f ca="1">IFERROR(__xludf.DUMMYFUNCTION("""COMPUTED_VALUE"""),106600594)</f>
        <v>106600594</v>
      </c>
      <c r="H54" s="5">
        <v>0</v>
      </c>
      <c r="I54" s="11">
        <f t="shared" ca="1" si="0"/>
        <v>106600594</v>
      </c>
      <c r="J54" s="6">
        <f ca="1">IFERROR(__xludf.DUMMYFUNCTION("""COMPUTED_VALUE"""),45044)</f>
        <v>45044</v>
      </c>
      <c r="K54" s="6">
        <f ca="1">IFERROR(__xludf.DUMMYFUNCTION("""COMPUTED_VALUE"""),45048)</f>
        <v>45048</v>
      </c>
      <c r="L54" s="5" t="s">
        <v>0</v>
      </c>
      <c r="M54" s="6">
        <f ca="1">IFERROR(__xludf.DUMMYFUNCTION("""COMPUTED_VALUE"""),45282)</f>
        <v>45282</v>
      </c>
      <c r="N54" s="5" t="str">
        <f ca="1">IFERROR(__xludf.DUMMYFUNCTION("""COMPUTED_VALUE"""),"A-05-01-01-002-003")</f>
        <v>A-05-01-01-002-003</v>
      </c>
      <c r="O54" s="5" t="s">
        <v>9</v>
      </c>
      <c r="P54" s="5" t="str">
        <f ca="1">IFERROR(__xludf.DUMMYFUNCTION("""COMPUTED_VALUE"""),"26")</f>
        <v>26</v>
      </c>
      <c r="Q54" s="5" t="str">
        <f ca="1">IFERROR(__xludf.DUMMYFUNCTION("""COMPUTED_VALUE"""),"PROPIOS")</f>
        <v>PROPIOS</v>
      </c>
      <c r="R54" s="5" t="str">
        <f ca="1">IFERROR(__xludf.DUMMYFUNCTION("""COMPUTED_VALUE"""),"108653")</f>
        <v>108653</v>
      </c>
      <c r="S54" s="14" t="str">
        <f ca="1">IFERROR(__xludf.DUMMYFUNCTION("""COMPUTED_VALUE"""),"https://www.colombiacompra.gov.co/tienda-virtual-del-estado-colombiano/ordenes-compra/108653")</f>
        <v>https://www.colombiacompra.gov.co/tienda-virtual-del-estado-colombiano/ordenes-compra/108653</v>
      </c>
      <c r="T54" s="5" t="s">
        <v>0</v>
      </c>
    </row>
    <row r="55" spans="1:20" ht="15.75" customHeight="1">
      <c r="A55" s="5" t="str">
        <f ca="1">IFERROR(__xludf.DUMMYFUNCTION("""COMPUTED_VALUE"""),"233 TULUA")</f>
        <v>233 TULUA</v>
      </c>
      <c r="B55" s="5" t="str">
        <f ca="1">IFERROR(__xludf.DUMMYFUNCTION("""COMPUTED_VALUE"""),"108654")</f>
        <v>108654</v>
      </c>
      <c r="C55" s="5" t="str">
        <f ca="1">IFERROR(__xludf.DUMMYFUNCTION("""COMPUTED_VALUE"""),"MÍNIMA CUANTÍA")</f>
        <v>MÍNIMA CUANTÍA</v>
      </c>
      <c r="D55" s="5" t="str">
        <f ca="1">IFERROR(__xludf.DUMMYFUNCTION("""COMPUTED_VALUE"""),"SUMINISTRO")</f>
        <v>SUMINISTRO</v>
      </c>
      <c r="E55" s="5" t="str">
        <f ca="1">IFERROR(__xludf.DUMMYFUNCTION("""COMPUTED_VALUE"""),"LA RECETTA")</f>
        <v>LA RECETTA</v>
      </c>
      <c r="F55" s="5" t="str">
        <f ca="1">IFERROR(__xludf.DUMMYFUNCTION("""COMPUTED_VALUE"""),"CONTRATAR A TRAVÉS DE LA TIENDA VIRTUAL DEL ESTADO COLOMBIANO (TVC) LA ADQUISICIÓN DE PRODUCTOS ENLATADOS (CARNE, PESCADO, FRUTAS, HORTALIZAS, ACEITES Y GRASAS), PARA COMERCIALIZARLOS A TRAVÉS DEL EXPENDIO DEL CPMS TULUA
")</f>
        <v xml:space="preserve">CONTRATAR A TRAVÉS DE LA TIENDA VIRTUAL DEL ESTADO COLOMBIANO (TVC) LA ADQUISICIÓN DE PRODUCTOS ENLATADOS (CARNE, PESCADO, FRUTAS, HORTALIZAS, ACEITES Y GRASAS), PARA COMERCIALIZARLOS A TRAVÉS DEL EXPENDIO DEL CPMS TULUA
</v>
      </c>
      <c r="G55" s="11">
        <f ca="1">IFERROR(__xludf.DUMMYFUNCTION("""COMPUTED_VALUE"""),16000000)</f>
        <v>16000000</v>
      </c>
      <c r="H55" s="5">
        <v>0</v>
      </c>
      <c r="I55" s="11">
        <f t="shared" ca="1" si="0"/>
        <v>16000000</v>
      </c>
      <c r="J55" s="6">
        <f ca="1">IFERROR(__xludf.DUMMYFUNCTION("""COMPUTED_VALUE"""),45044)</f>
        <v>45044</v>
      </c>
      <c r="K55" s="6">
        <f ca="1">IFERROR(__xludf.DUMMYFUNCTION("""COMPUTED_VALUE"""),45048)</f>
        <v>45048</v>
      </c>
      <c r="L55" s="5" t="s">
        <v>0</v>
      </c>
      <c r="M55" s="6">
        <f ca="1">IFERROR(__xludf.DUMMYFUNCTION("""COMPUTED_VALUE"""),45282)</f>
        <v>45282</v>
      </c>
      <c r="N55" s="5" t="str">
        <f ca="1">IFERROR(__xludf.DUMMYFUNCTION("""COMPUTED_VALUE"""),"A-05-01-01-002-001")</f>
        <v>A-05-01-01-002-001</v>
      </c>
      <c r="O55" s="5" t="s">
        <v>9</v>
      </c>
      <c r="P55" s="5" t="str">
        <f ca="1">IFERROR(__xludf.DUMMYFUNCTION("""COMPUTED_VALUE"""),"26")</f>
        <v>26</v>
      </c>
      <c r="Q55" s="5" t="str">
        <f ca="1">IFERROR(__xludf.DUMMYFUNCTION("""COMPUTED_VALUE"""),"PROPIOS")</f>
        <v>PROPIOS</v>
      </c>
      <c r="R55" s="5" t="str">
        <f ca="1">IFERROR(__xludf.DUMMYFUNCTION("""COMPUTED_VALUE"""),"108654")</f>
        <v>108654</v>
      </c>
      <c r="S55" s="14" t="str">
        <f ca="1">IFERROR(__xludf.DUMMYFUNCTION("""COMPUTED_VALUE"""),"https://www.colombiacompra.gov.co/tienda-virtual-del-estado-colombiano/ordenes-compra/108654")</f>
        <v>https://www.colombiacompra.gov.co/tienda-virtual-del-estado-colombiano/ordenes-compra/108654</v>
      </c>
      <c r="T55" s="5" t="s">
        <v>0</v>
      </c>
    </row>
    <row r="56" spans="1:20" ht="15.75" customHeight="1">
      <c r="A56" s="5" t="str">
        <f ca="1">IFERROR(__xludf.DUMMYFUNCTION("""COMPUTED_VALUE"""),"233 TULUA")</f>
        <v>233 TULUA</v>
      </c>
      <c r="B56" s="5" t="str">
        <f ca="1">IFERROR(__xludf.DUMMYFUNCTION("""COMPUTED_VALUE"""),"108673")</f>
        <v>108673</v>
      </c>
      <c r="C56" s="5" t="str">
        <f ca="1">IFERROR(__xludf.DUMMYFUNCTION("""COMPUTED_VALUE"""),"MÍNIMA CUANTÍA")</f>
        <v>MÍNIMA CUANTÍA</v>
      </c>
      <c r="D56" s="5" t="str">
        <f ca="1">IFERROR(__xludf.DUMMYFUNCTION("""COMPUTED_VALUE"""),"SUMINISTRO")</f>
        <v>SUMINISTRO</v>
      </c>
      <c r="E56" s="5" t="str">
        <f ca="1">IFERROR(__xludf.DUMMYFUNCTION("""COMPUTED_VALUE"""),"LA RECETTA")</f>
        <v>LA RECETTA</v>
      </c>
      <c r="F56" s="5" t="str">
        <f ca="1">IFERROR(__xludf.DUMMYFUNCTION("""COMPUTED_VALUE"""),"CONTRATAR A TRAVÉS DE LA TIENDA VIRTUAL DEL ESTADO COLOMBIANO (TVEC), LA ADQUISICIÓN DE PRODUCTOS LACTEOS Y OVOPRODUCTOS; ACEITES Y GRASAS; Y OTROS MINERALES, PARA LA ELABORACION DE PRODUCTOS DE PANIFICACION DEL PROYECTO PRODUCTIVO DE PANADERIA DE LA CARC"&amp;"EL Y PENITENCIARIA DE MEDIA SEGURIDAD CPMS TULUA
")</f>
        <v xml:space="preserve">CONTRATAR A TRAVÉS DE LA TIENDA VIRTUAL DEL ESTADO COLOMBIANO (TVEC), LA ADQUISICIÓN DE PRODUCTOS LACTEOS Y OVOPRODUCTOS; ACEITES Y GRASAS; Y OTROS MINERALES, PARA LA ELABORACION DE PRODUCTOS DE PANIFICACION DEL PROYECTO PRODUCTIVO DE PANADERIA DE LA CARCEL Y PENITENCIARIA DE MEDIA SEGURIDAD CPMS TULUA
</v>
      </c>
      <c r="G56" s="11">
        <f ca="1">IFERROR(__xludf.DUMMYFUNCTION("""COMPUTED_VALUE"""),53951652)</f>
        <v>53951652</v>
      </c>
      <c r="H56" s="5">
        <v>0</v>
      </c>
      <c r="I56" s="11">
        <f t="shared" ca="1" si="0"/>
        <v>53951652</v>
      </c>
      <c r="J56" s="6">
        <f ca="1">IFERROR(__xludf.DUMMYFUNCTION("""COMPUTED_VALUE"""),45044)</f>
        <v>45044</v>
      </c>
      <c r="K56" s="6">
        <f ca="1">IFERROR(__xludf.DUMMYFUNCTION("""COMPUTED_VALUE"""),45048)</f>
        <v>45048</v>
      </c>
      <c r="L56" s="5" t="s">
        <v>0</v>
      </c>
      <c r="M56" s="6">
        <f ca="1">IFERROR(__xludf.DUMMYFUNCTION("""COMPUTED_VALUE"""),45282)</f>
        <v>45282</v>
      </c>
      <c r="N56" s="5" t="str">
        <f ca="1">IFERROR(__xludf.DUMMYFUNCTION("""COMPUTED_VALUE"""),"A-05-01-01-002-001; A-05-01-01-002-003")</f>
        <v>A-05-01-01-002-001; A-05-01-01-002-003</v>
      </c>
      <c r="O56" s="5" t="s">
        <v>9</v>
      </c>
      <c r="P56" s="5" t="str">
        <f ca="1">IFERROR(__xludf.DUMMYFUNCTION("""COMPUTED_VALUE"""),"26")</f>
        <v>26</v>
      </c>
      <c r="Q56" s="5" t="str">
        <f ca="1">IFERROR(__xludf.DUMMYFUNCTION("""COMPUTED_VALUE"""),"PROPIOS")</f>
        <v>PROPIOS</v>
      </c>
      <c r="R56" s="5" t="str">
        <f ca="1">IFERROR(__xludf.DUMMYFUNCTION("""COMPUTED_VALUE"""),"108673")</f>
        <v>108673</v>
      </c>
      <c r="S56" s="14" t="str">
        <f ca="1">IFERROR(__xludf.DUMMYFUNCTION("""COMPUTED_VALUE"""),"https://www.colombiacompra.gov.co/tienda-virtual-del-estado-colombiano/ordenes-compra/108673")</f>
        <v>https://www.colombiacompra.gov.co/tienda-virtual-del-estado-colombiano/ordenes-compra/108673</v>
      </c>
      <c r="T56" s="5" t="s">
        <v>0</v>
      </c>
    </row>
    <row r="57" spans="1:20" ht="15.75" customHeight="1">
      <c r="A57" s="5" t="str">
        <f ca="1">IFERROR(__xludf.DUMMYFUNCTION("""COMPUTED_VALUE"""),"235 POPAYAN")</f>
        <v>235 POPAYAN</v>
      </c>
      <c r="B57" s="5" t="str">
        <f ca="1">IFERROR(__xludf.DUMMYFUNCTION("""COMPUTED_VALUE"""),"ACEPTACION 006-2023")</f>
        <v>ACEPTACION 006-2023</v>
      </c>
      <c r="C57" s="5" t="str">
        <f ca="1">IFERROR(__xludf.DUMMYFUNCTION("""COMPUTED_VALUE"""),"MÍNIMA CUANTÍA")</f>
        <v>MÍNIMA CUANTÍA</v>
      </c>
      <c r="D57" s="5" t="str">
        <f ca="1">IFERROR(__xludf.DUMMYFUNCTION("""COMPUTED_VALUE"""),"PRESTACIÓN DE SERVICIOS")</f>
        <v>PRESTACIÓN DE SERVICIOS</v>
      </c>
      <c r="E57" s="5" t="str">
        <f ca="1">IFERROR(__xludf.DUMMYFUNCTION("""COMPUTED_VALUE"""),"CARLOS ALBERTO ORDOÑEZ VELASCO")</f>
        <v>CARLOS ALBERTO ORDOÑEZ VELASCO</v>
      </c>
      <c r="F57" s="5" t="str">
        <f ca="1">IFERROR(__xludf.DUMMYFUNCTION("""COMPUTED_VALUE"""),"Contratar el servicio de fumigación, desinfección, desratización y control de calidad de agua (lavado de tanque y análisis químico del agua) de la Cárcel y Penitenciaria con Alta y Mediana Seguridad de Popayán - CPAMSPY")</f>
        <v>Contratar el servicio de fumigación, desinfección, desratización y control de calidad de agua (lavado de tanque y análisis químico del agua) de la Cárcel y Penitenciaria con Alta y Mediana Seguridad de Popayán - CPAMSPY</v>
      </c>
      <c r="G57" s="11">
        <f ca="1">IFERROR(__xludf.DUMMYFUNCTION("""COMPUTED_VALUE"""),23994000)</f>
        <v>23994000</v>
      </c>
      <c r="H57" s="5">
        <v>0</v>
      </c>
      <c r="I57" s="11">
        <f t="shared" ca="1" si="0"/>
        <v>23994000</v>
      </c>
      <c r="J57" s="6">
        <f ca="1">IFERROR(__xludf.DUMMYFUNCTION("""COMPUTED_VALUE"""),45016)</f>
        <v>45016</v>
      </c>
      <c r="K57" s="6">
        <f ca="1">IFERROR(__xludf.DUMMYFUNCTION("""COMPUTED_VALUE"""),45027)</f>
        <v>45027</v>
      </c>
      <c r="L57" s="5" t="s">
        <v>0</v>
      </c>
      <c r="M57" s="6">
        <f ca="1">IFERROR(__xludf.DUMMYFUNCTION("""COMPUTED_VALUE"""),45291)</f>
        <v>45291</v>
      </c>
      <c r="N57" s="5" t="str">
        <f ca="1">IFERROR(__xludf.DUMMYFUNCTION("""COMPUTED_VALUE"""),"A-03-03-01-017")</f>
        <v>A-03-03-01-017</v>
      </c>
      <c r="O57" s="5" t="s">
        <v>67</v>
      </c>
      <c r="P57" s="5" t="str">
        <f ca="1">IFERROR(__xludf.DUMMYFUNCTION("""COMPUTED_VALUE"""),"10")</f>
        <v>10</v>
      </c>
      <c r="Q57" s="5" t="str">
        <f ca="1">IFERROR(__xludf.DUMMYFUNCTION("""COMPUTED_VALUE"""),"NACION")</f>
        <v>NACION</v>
      </c>
      <c r="R57" s="5" t="str">
        <f ca="1">IFERROR(__xludf.DUMMYFUNCTION("""COMPUTED_VALUE"""),"CO1.PCCNTR.4832227")</f>
        <v>CO1.PCCNTR.4832227</v>
      </c>
      <c r="S57" s="14" t="str">
        <f ca="1">IFERROR(__xludf.DUMMYFUNCTION("""COMPUTED_VALUE"""),"https://community.secop.gov.co/Public/Tendering/OpportunityDetail/Index?noticeUID=CO1.NTC.4169078&amp;isFromPublicArea=True&amp;isModal=False")</f>
        <v>https://community.secop.gov.co/Public/Tendering/OpportunityDetail/Index?noticeUID=CO1.NTC.4169078&amp;isFromPublicArea=True&amp;isModal=False</v>
      </c>
      <c r="T57" s="5" t="s">
        <v>0</v>
      </c>
    </row>
    <row r="58" spans="1:20" ht="15.75" customHeight="1">
      <c r="A58" s="5" t="str">
        <f ca="1">IFERROR(__xludf.DUMMYFUNCTION("""COMPUTED_VALUE"""),"235 POPAYAN")</f>
        <v>235 POPAYAN</v>
      </c>
      <c r="B58" s="5" t="str">
        <f ca="1">IFERROR(__xludf.DUMMYFUNCTION("""COMPUTED_VALUE"""),"ACEPTACION 007-2023")</f>
        <v>ACEPTACION 007-2023</v>
      </c>
      <c r="C58" s="5" t="str">
        <f ca="1">IFERROR(__xludf.DUMMYFUNCTION("""COMPUTED_VALUE"""),"MÍNIMA CUANTÍA")</f>
        <v>MÍNIMA CUANTÍA</v>
      </c>
      <c r="D58" s="5" t="str">
        <f ca="1">IFERROR(__xludf.DUMMYFUNCTION("""COMPUTED_VALUE"""),"SUMINISTRO")</f>
        <v>SUMINISTRO</v>
      </c>
      <c r="E58" s="5" t="str">
        <f ca="1">IFERROR(__xludf.DUMMYFUNCTION("""COMPUTED_VALUE"""),"JULIAN ANDRES SALAS CHACON")</f>
        <v>JULIAN ANDRES SALAS CHACON</v>
      </c>
      <c r="F58" s="5" t="str">
        <f ca="1">IFERROR(__xludf.DUMMYFUNCTION("""COMPUTED_VALUE"""),"Contratar el suministro de alimento, material veterinario y el servicio de atención médica, para los semovientes caninos de la Cárcel y Penitenciaria con Alta y Mediana Seguridad de Popayán - CPAMSPY")</f>
        <v>Contratar el suministro de alimento, material veterinario y el servicio de atención médica, para los semovientes caninos de la Cárcel y Penitenciaria con Alta y Mediana Seguridad de Popayán - CPAMSPY</v>
      </c>
      <c r="G58" s="11">
        <f ca="1">IFERROR(__xludf.DUMMYFUNCTION("""COMPUTED_VALUE"""),28210000)</f>
        <v>28210000</v>
      </c>
      <c r="H58" s="5">
        <v>0</v>
      </c>
      <c r="I58" s="11">
        <f t="shared" ca="1" si="0"/>
        <v>28210000</v>
      </c>
      <c r="J58" s="6">
        <f ca="1">IFERROR(__xludf.DUMMYFUNCTION("""COMPUTED_VALUE"""),45041)</f>
        <v>45041</v>
      </c>
      <c r="K58" s="6">
        <f ca="1">IFERROR(__xludf.DUMMYFUNCTION("""COMPUTED_VALUE"""),36161)</f>
        <v>36161</v>
      </c>
      <c r="L58" s="5" t="s">
        <v>0</v>
      </c>
      <c r="M58" s="6">
        <f ca="1">IFERROR(__xludf.DUMMYFUNCTION("""COMPUTED_VALUE"""),45291)</f>
        <v>45291</v>
      </c>
      <c r="N58" s="5" t="str">
        <f ca="1">IFERROR(__xludf.DUMMYFUNCTION("""COMPUTED_VALUE"""),"A-02-02-01-002-003")</f>
        <v>A-02-02-01-002-003</v>
      </c>
      <c r="O58" s="5" t="s">
        <v>12</v>
      </c>
      <c r="P58" s="5" t="str">
        <f ca="1">IFERROR(__xludf.DUMMYFUNCTION("""COMPUTED_VALUE"""),"10")</f>
        <v>10</v>
      </c>
      <c r="Q58" s="5" t="str">
        <f ca="1">IFERROR(__xludf.DUMMYFUNCTION("""COMPUTED_VALUE"""),"NACION")</f>
        <v>NACION</v>
      </c>
      <c r="R58" s="5" t="str">
        <f ca="1">IFERROR(__xludf.DUMMYFUNCTION("""COMPUTED_VALUE"""),"CO1.PCCNTR.4899657")</f>
        <v>CO1.PCCNTR.4899657</v>
      </c>
      <c r="S58" s="14" t="str">
        <f ca="1">IFERROR(__xludf.DUMMYFUNCTION("""COMPUTED_VALUE"""),"https://community.secop.gov.co/Public/Tendering/OpportunityDetail/Index?noticeUID=CO1.NTC.4286432&amp;isFromPublicArea=True&amp;isModal=False")</f>
        <v>https://community.secop.gov.co/Public/Tendering/OpportunityDetail/Index?noticeUID=CO1.NTC.4286432&amp;isFromPublicArea=True&amp;isModal=False</v>
      </c>
      <c r="T58" s="5" t="s">
        <v>0</v>
      </c>
    </row>
    <row r="59" spans="1:20" ht="15.75" customHeight="1">
      <c r="A59" s="5" t="str">
        <f ca="1">IFERROR(__xludf.DUMMYFUNCTION("""COMPUTED_VALUE"""),"235 POPAYAN")</f>
        <v>235 POPAYAN</v>
      </c>
      <c r="B59" s="5" t="str">
        <f ca="1">IFERROR(__xludf.DUMMYFUNCTION("""COMPUTED_VALUE"""),"ACEPTACION 008-2023")</f>
        <v>ACEPTACION 008-2023</v>
      </c>
      <c r="C59" s="5" t="str">
        <f ca="1">IFERROR(__xludf.DUMMYFUNCTION("""COMPUTED_VALUE"""),"MÍNIMA CUANTÍA")</f>
        <v>MÍNIMA CUANTÍA</v>
      </c>
      <c r="D59" s="5" t="str">
        <f ca="1">IFERROR(__xludf.DUMMYFUNCTION("""COMPUTED_VALUE"""),"COMPRAVENTA")</f>
        <v>COMPRAVENTA</v>
      </c>
      <c r="E59" s="5" t="str">
        <f ca="1">IFERROR(__xludf.DUMMYFUNCTION("""COMPUTED_VALUE"""),"IMPORTADORA Y COMERCIALIZADORA CAUCA LTDA")</f>
        <v>IMPORTADORA Y COMERCIALIZADORA CAUCA LTDA</v>
      </c>
      <c r="F59" s="5" t="str">
        <f ca="1">IFERROR(__xludf.DUMMYFUNCTION("""COMPUTED_VALUE"""),"Adquisición de material didáctico e insumos para el programa de educación formal de la Cárcel y Penitenciaria con Alta y Mediana Seguridad de Popayán - CPAMSPY")</f>
        <v>Adquisición de material didáctico e insumos para el programa de educación formal de la Cárcel y Penitenciaria con Alta y Mediana Seguridad de Popayán - CPAMSPY</v>
      </c>
      <c r="G59" s="11">
        <f ca="1">IFERROR(__xludf.DUMMYFUNCTION("""COMPUTED_VALUE"""),20999563)</f>
        <v>20999563</v>
      </c>
      <c r="H59" s="5">
        <v>0</v>
      </c>
      <c r="I59" s="11">
        <f t="shared" ca="1" si="0"/>
        <v>20999563</v>
      </c>
      <c r="J59" s="6">
        <f ca="1">IFERROR(__xludf.DUMMYFUNCTION("""COMPUTED_VALUE"""),45043)</f>
        <v>45043</v>
      </c>
      <c r="K59" s="6">
        <f ca="1">IFERROR(__xludf.DUMMYFUNCTION("""COMPUTED_VALUE"""),36161)</f>
        <v>36161</v>
      </c>
      <c r="L59" s="5" t="s">
        <v>0</v>
      </c>
      <c r="M59" s="6">
        <f ca="1">IFERROR(__xludf.DUMMYFUNCTION("""COMPUTED_VALUE"""),45065)</f>
        <v>45065</v>
      </c>
      <c r="N59" s="5" t="str">
        <f ca="1">IFERROR(__xludf.DUMMYFUNCTION("""COMPUTED_VALUE"""),"A-03-03-01-017")</f>
        <v>A-03-03-01-017</v>
      </c>
      <c r="O59" s="5" t="s">
        <v>11</v>
      </c>
      <c r="P59" s="5" t="str">
        <f ca="1">IFERROR(__xludf.DUMMYFUNCTION("""COMPUTED_VALUE"""),"10")</f>
        <v>10</v>
      </c>
      <c r="Q59" s="5" t="str">
        <f ca="1">IFERROR(__xludf.DUMMYFUNCTION("""COMPUTED_VALUE"""),"NACION")</f>
        <v>NACION</v>
      </c>
      <c r="R59" s="5" t="str">
        <f ca="1">IFERROR(__xludf.DUMMYFUNCTION("""COMPUTED_VALUE"""),"CO1.PCCNTR.4907958")</f>
        <v>CO1.PCCNTR.4907958</v>
      </c>
      <c r="S59" s="14" t="str">
        <f ca="1">IFERROR(__xludf.DUMMYFUNCTION("""COMPUTED_VALUE"""),"https://community.secop.gov.co/Public/Tendering/OpportunityDetail/Index?noticeUID=CO1.NTC.4297139&amp;isFromPublicArea=True&amp;isModal=False")</f>
        <v>https://community.secop.gov.co/Public/Tendering/OpportunityDetail/Index?noticeUID=CO1.NTC.4297139&amp;isFromPublicArea=True&amp;isModal=False</v>
      </c>
      <c r="T59" s="5" t="s">
        <v>0</v>
      </c>
    </row>
    <row r="60" spans="1:20" ht="15.75" customHeight="1">
      <c r="A60" s="5" t="str">
        <f ca="1">IFERROR(__xludf.DUMMYFUNCTION("""COMPUTED_VALUE"""),"235 POPAYAN")</f>
        <v>235 POPAYAN</v>
      </c>
      <c r="B60" s="5" t="str">
        <f ca="1">IFERROR(__xludf.DUMMYFUNCTION("""COMPUTED_VALUE"""),"ACEPTACION 009-2023")</f>
        <v>ACEPTACION 009-2023</v>
      </c>
      <c r="C60" s="5" t="str">
        <f ca="1">IFERROR(__xludf.DUMMYFUNCTION("""COMPUTED_VALUE"""),"MÍNIMA CUANTÍA")</f>
        <v>MÍNIMA CUANTÍA</v>
      </c>
      <c r="D60" s="5" t="str">
        <f ca="1">IFERROR(__xludf.DUMMYFUNCTION("""COMPUTED_VALUE"""),"SUMINISTRO")</f>
        <v>SUMINISTRO</v>
      </c>
      <c r="E60" s="5" t="str">
        <f ca="1">IFERROR(__xludf.DUMMYFUNCTION("""COMPUTED_VALUE"""),"JULIAN ANDRES SALAS CHACON")</f>
        <v>JULIAN ANDRES SALAS CHACON</v>
      </c>
      <c r="F60" s="5" t="str">
        <f ca="1">IFERROR(__xludf.DUMMYFUNCTION("""COMPUTED_VALUE"""),"Contratar el suministro de alimento, material veterinario y el servicio de atención médica, para los semovientes caninos de la Cárcel y Penitenciaria con Alta y Mediana Seguridad de Popayán - CPAMSPY")</f>
        <v>Contratar el suministro de alimento, material veterinario y el servicio de atención médica, para los semovientes caninos de la Cárcel y Penitenciaria con Alta y Mediana Seguridad de Popayán - CPAMSPY</v>
      </c>
      <c r="G60" s="11">
        <f ca="1">IFERROR(__xludf.DUMMYFUNCTION("""COMPUTED_VALUE"""),12527500)</f>
        <v>12527500</v>
      </c>
      <c r="H60" s="5">
        <v>0</v>
      </c>
      <c r="I60" s="11">
        <f t="shared" ca="1" si="0"/>
        <v>12527500</v>
      </c>
      <c r="J60" s="6">
        <f ca="1">IFERROR(__xludf.DUMMYFUNCTION("""COMPUTED_VALUE"""),45043)</f>
        <v>45043</v>
      </c>
      <c r="K60" s="6">
        <f ca="1">IFERROR(__xludf.DUMMYFUNCTION("""COMPUTED_VALUE"""),36161)</f>
        <v>36161</v>
      </c>
      <c r="L60" s="5" t="s">
        <v>0</v>
      </c>
      <c r="M60" s="6">
        <f ca="1">IFERROR(__xludf.DUMMYFUNCTION("""COMPUTED_VALUE"""),45291)</f>
        <v>45291</v>
      </c>
      <c r="N60" s="5" t="str">
        <f ca="1">IFERROR(__xludf.DUMMYFUNCTION("""COMPUTED_VALUE"""),"A-02-02-01-003-005 /A-02-02-02-008-003")</f>
        <v>A-02-02-01-003-005 /A-02-02-02-008-003</v>
      </c>
      <c r="O60" s="5" t="s">
        <v>11</v>
      </c>
      <c r="P60" s="5" t="str">
        <f ca="1">IFERROR(__xludf.DUMMYFUNCTION("""COMPUTED_VALUE"""),"10")</f>
        <v>10</v>
      </c>
      <c r="Q60" s="5" t="str">
        <f ca="1">IFERROR(__xludf.DUMMYFUNCTION("""COMPUTED_VALUE"""),"NACION")</f>
        <v>NACION</v>
      </c>
      <c r="R60" s="5" t="str">
        <f ca="1">IFERROR(__xludf.DUMMYFUNCTION("""COMPUTED_VALUE"""),"CO1.PCCNTR.4912806")</f>
        <v>CO1.PCCNTR.4912806</v>
      </c>
      <c r="S60" s="14" t="str">
        <f ca="1">IFERROR(__xludf.DUMMYFUNCTION("""COMPUTED_VALUE"""),"https://community.secop.gov.co/Public/Tendering/OpportunityDetail/Index?noticeUID=CO1.NTC.4286432&amp;isFromPublicArea=True&amp;isModal=False")</f>
        <v>https://community.secop.gov.co/Public/Tendering/OpportunityDetail/Index?noticeUID=CO1.NTC.4286432&amp;isFromPublicArea=True&amp;isModal=False</v>
      </c>
      <c r="T60" s="5" t="s">
        <v>0</v>
      </c>
    </row>
    <row r="61" spans="1:20" ht="15.75" customHeight="1">
      <c r="A61" s="5" t="str">
        <f ca="1">IFERROR(__xludf.DUMMYFUNCTION("""COMPUTED_VALUE"""),"238 CARTAGO")</f>
        <v>238 CARTAGO</v>
      </c>
      <c r="B61" s="5" t="str">
        <f ca="1">IFERROR(__xludf.DUMMYFUNCTION("""COMPUTED_VALUE"""),"003-2023")</f>
        <v>003-2023</v>
      </c>
      <c r="C61" s="5" t="str">
        <f ca="1">IFERROR(__xludf.DUMMYFUNCTION("""COMPUTED_VALUE"""),"MÍNIMA CUANTÍA")</f>
        <v>MÍNIMA CUANTÍA</v>
      </c>
      <c r="D61" s="5" t="str">
        <f ca="1">IFERROR(__xludf.DUMMYFUNCTION("""COMPUTED_VALUE"""),"PRESTACIÓN DE SERVICIOS")</f>
        <v>PRESTACIÓN DE SERVICIOS</v>
      </c>
      <c r="E61" s="5" t="str">
        <f ca="1">IFERROR(__xludf.DUMMYFUNCTION("""COMPUTED_VALUE"""),"AUTOZONA DEL CAFE")</f>
        <v>AUTOZONA DEL CAFE</v>
      </c>
      <c r="F61" s="5" t="str">
        <f ca="1">IFERROR(__xludf.DUMMYFUNCTION("""COMPUTED_VALUE"""),"Mantenimiento a todo costo preventivo y correctivo que incluya el suministro de repuestos para el parque automotor asignado al EPMSC Cartago")</f>
        <v>Mantenimiento a todo costo preventivo y correctivo que incluya el suministro de repuestos para el parque automotor asignado al EPMSC Cartago</v>
      </c>
      <c r="G61" s="11">
        <f ca="1">IFERROR(__xludf.DUMMYFUNCTION("""COMPUTED_VALUE"""),34156900)</f>
        <v>34156900</v>
      </c>
      <c r="H61" s="5">
        <v>0</v>
      </c>
      <c r="I61" s="11">
        <f t="shared" ca="1" si="0"/>
        <v>34156900</v>
      </c>
      <c r="J61" s="6">
        <f ca="1">IFERROR(__xludf.DUMMYFUNCTION("""COMPUTED_VALUE"""),45041)</f>
        <v>45041</v>
      </c>
      <c r="K61" s="6">
        <f ca="1">IFERROR(__xludf.DUMMYFUNCTION("""COMPUTED_VALUE"""),45042)</f>
        <v>45042</v>
      </c>
      <c r="L61" s="5" t="s">
        <v>0</v>
      </c>
      <c r="M61" s="6">
        <f ca="1">IFERROR(__xludf.DUMMYFUNCTION("""COMPUTED_VALUE"""),45291)</f>
        <v>45291</v>
      </c>
      <c r="N61" s="5" t="str">
        <f ca="1">IFERROR(__xludf.DUMMYFUNCTION("""COMPUTED_VALUE"""),"A-02-02-02-008-007")</f>
        <v>A-02-02-02-008-007</v>
      </c>
      <c r="O61" s="5" t="s">
        <v>8</v>
      </c>
      <c r="P61" s="5" t="str">
        <f ca="1">IFERROR(__xludf.DUMMYFUNCTION("""COMPUTED_VALUE"""),"10/26")</f>
        <v>10/26</v>
      </c>
      <c r="Q61" s="5" t="str">
        <f ca="1">IFERROR(__xludf.DUMMYFUNCTION("""COMPUTED_VALUE"""),"NACION")</f>
        <v>NACION</v>
      </c>
      <c r="R61" s="5" t="str">
        <f ca="1">IFERROR(__xludf.DUMMYFUNCTION("""COMPUTED_VALUE"""),"CO1.PCCNTR.4900439")</f>
        <v>CO1.PCCNTR.4900439</v>
      </c>
      <c r="S61" s="14" t="str">
        <f ca="1">IFERROR(__xludf.DUMMYFUNCTION("""COMPUTED_VALUE"""),"https://community.secop.gov.co/Public/Tendering/OpportunityDetail/Index?noticeUID=CO1.NTC.4312231&amp;isFromPublicArea=True&amp;isModal=False")</f>
        <v>https://community.secop.gov.co/Public/Tendering/OpportunityDetail/Index?noticeUID=CO1.NTC.4312231&amp;isFromPublicArea=True&amp;isModal=False</v>
      </c>
      <c r="T61" s="5" t="s">
        <v>0</v>
      </c>
    </row>
    <row r="62" spans="1:20" ht="15.75" customHeight="1">
      <c r="A62" s="5" t="str">
        <f ca="1">IFERROR(__xludf.DUMMYFUNCTION("""COMPUTED_VALUE"""),"239 CAICEDONIA")</f>
        <v>239 CAICEDONIA</v>
      </c>
      <c r="B62" s="5" t="str">
        <f ca="1">IFERROR(__xludf.DUMMYFUNCTION("""COMPUTED_VALUE"""),"239-011-2023")</f>
        <v>239-011-2023</v>
      </c>
      <c r="C62" s="5" t="str">
        <f ca="1">IFERROR(__xludf.DUMMYFUNCTION("""COMPUTED_VALUE"""),"GRANDES SUPERFICIES")</f>
        <v>GRANDES SUPERFICIES</v>
      </c>
      <c r="D62" s="5" t="str">
        <f ca="1">IFERROR(__xludf.DUMMYFUNCTION("""COMPUTED_VALUE"""),"COMPRAVENTA")</f>
        <v>COMPRAVENTA</v>
      </c>
      <c r="E62" s="5" t="str">
        <f ca="1">IFERROR(__xludf.DUMMYFUNCTION("""COMPUTED_VALUE"""),"POLIFLEX")</f>
        <v>POLIFLEX</v>
      </c>
      <c r="F62" s="5" t="str">
        <f ca="1">IFERROR(__xludf.DUMMYFUNCTION("""COMPUTED_VALUE"""),"CONTRATAR MEDIANTE LA TIENDA VIRTUAL DEL ESTADO COLOMBIANO LA COMPRA DE DOTACION INTERNOS COMO SON KITS DE ASEO Y ELEMENTOS DE CAMA, ASIGNADO MEDIANTE RESOLUCION 000161 DEL 13 DE ENERO DEL 2023, PARA EL ESTABLECIMIENTO PENITENCIARIO Y CARCELARIO DE CAICED"&amp;"ONIA")</f>
        <v>CONTRATAR MEDIANTE LA TIENDA VIRTUAL DEL ESTADO COLOMBIANO LA COMPRA DE DOTACION INTERNOS COMO SON KITS DE ASEO Y ELEMENTOS DE CAMA, ASIGNADO MEDIANTE RESOLUCION 000161 DEL 13 DE ENERO DEL 2023, PARA EL ESTABLECIMIENTO PENITENCIARIO Y CARCELARIO DE CAICEDONIA</v>
      </c>
      <c r="G62" s="11">
        <f ca="1">IFERROR(__xludf.DUMMYFUNCTION("""COMPUTED_VALUE"""),20341400)</f>
        <v>20341400</v>
      </c>
      <c r="H62" s="5">
        <v>0</v>
      </c>
      <c r="I62" s="11">
        <f t="shared" ca="1" si="0"/>
        <v>20341400</v>
      </c>
      <c r="J62" s="6">
        <f ca="1">IFERROR(__xludf.DUMMYFUNCTION("""COMPUTED_VALUE"""),45015)</f>
        <v>45015</v>
      </c>
      <c r="K62" s="6">
        <f ca="1">IFERROR(__xludf.DUMMYFUNCTION("""COMPUTED_VALUE"""),45015)</f>
        <v>45015</v>
      </c>
      <c r="L62" s="5" t="s">
        <v>0</v>
      </c>
      <c r="M62" s="6">
        <f ca="1">IFERROR(__xludf.DUMMYFUNCTION("""COMPUTED_VALUE"""),45291)</f>
        <v>45291</v>
      </c>
      <c r="N62" s="5" t="str">
        <f ca="1">IFERROR(__xludf.DUMMYFUNCTION("""COMPUTED_VALUE"""),"A-03-03-01-017")</f>
        <v>A-03-03-01-017</v>
      </c>
      <c r="O62" s="5" t="s">
        <v>6</v>
      </c>
      <c r="P62" s="5" t="str">
        <f ca="1">IFERROR(__xludf.DUMMYFUNCTION("""COMPUTED_VALUE"""),"10")</f>
        <v>10</v>
      </c>
      <c r="Q62" s="5" t="str">
        <f ca="1">IFERROR(__xludf.DUMMYFUNCTION("""COMPUTED_VALUE"""),"NACION")</f>
        <v>NACION</v>
      </c>
      <c r="R62" s="5" t="str">
        <f ca="1">IFERROR(__xludf.DUMMYFUNCTION("""COMPUTED_VALUE"""),"239-011-2023")</f>
        <v>239-011-2023</v>
      </c>
      <c r="S62" s="14" t="str">
        <f ca="1">IFERROR(__xludf.DUMMYFUNCTION("""COMPUTED_VALUE"""),"https://colombiacompra.coupahost.com/order_headers/106564")</f>
        <v>https://colombiacompra.coupahost.com/order_headers/106564</v>
      </c>
      <c r="T62" s="5" t="s">
        <v>0</v>
      </c>
    </row>
    <row r="63" spans="1:20" ht="15.75" customHeight="1">
      <c r="A63" s="5" t="str">
        <f ca="1">IFERROR(__xludf.DUMMYFUNCTION("""COMPUTED_VALUE"""),"240 RONDANILLO")</f>
        <v>240 RONDANILLO</v>
      </c>
      <c r="B63" s="5" t="s">
        <v>66</v>
      </c>
      <c r="C63" s="5" t="str">
        <f ca="1">IFERROR(__xludf.DUMMYFUNCTION("""COMPUTED_VALUE"""),"MÍNIMA CUANTÍA")</f>
        <v>MÍNIMA CUANTÍA</v>
      </c>
      <c r="D63" s="5" t="str">
        <f ca="1">IFERROR(__xludf.DUMMYFUNCTION("""COMPUTED_VALUE"""),"PRESTACIÓN DE SERVICIOS")</f>
        <v>PRESTACIÓN DE SERVICIOS</v>
      </c>
      <c r="E63" s="5" t="str">
        <f ca="1">IFERROR(__xludf.DUMMYFUNCTION("""COMPUTED_VALUE"""),"Sandra Milena Parra Londoño ")</f>
        <v xml:space="preserve">Sandra Milena Parra Londoño </v>
      </c>
      <c r="F63" s="5" t="str">
        <f ca="1">IFERROR(__xludf.DUMMYFUNCTION("""COMPUTED_VALUE"""),"Contratar la prestación del servicio de mantenimiento preventivo y correctivo que incluya el suministro de repuestos para el vehículo motocicleta suzuki de placa BCB45 adscrito al Establecimiento Penitenciario de Mediana Seguridad y Carcelario de Roldanil"&amp;"lo.")</f>
        <v>Contratar la prestación del servicio de mantenimiento preventivo y correctivo que incluya el suministro de repuestos para el vehículo motocicleta suzuki de placa BCB45 adscrito al Establecimiento Penitenciario de Mediana Seguridad y Carcelario de Roldanillo.</v>
      </c>
      <c r="G63" s="11">
        <f ca="1">IFERROR(__xludf.DUMMYFUNCTION("""COMPUTED_VALUE"""),1500000)</f>
        <v>1500000</v>
      </c>
      <c r="H63" s="5">
        <v>0</v>
      </c>
      <c r="I63" s="11">
        <f t="shared" ca="1" si="0"/>
        <v>1500000</v>
      </c>
      <c r="J63" s="6">
        <f ca="1">IFERROR(__xludf.DUMMYFUNCTION("""COMPUTED_VALUE"""),45043)</f>
        <v>45043</v>
      </c>
      <c r="K63" s="6">
        <f ca="1">IFERROR(__xludf.DUMMYFUNCTION("""COMPUTED_VALUE"""),45043)</f>
        <v>45043</v>
      </c>
      <c r="L63" s="5" t="s">
        <v>0</v>
      </c>
      <c r="M63" s="6">
        <f ca="1">IFERROR(__xludf.DUMMYFUNCTION("""COMPUTED_VALUE"""),45291)</f>
        <v>45291</v>
      </c>
      <c r="N63" s="5" t="str">
        <f ca="1">IFERROR(__xludf.DUMMYFUNCTION("""COMPUTED_VALUE"""),"A-02-02-02-008-007")</f>
        <v>A-02-02-02-008-007</v>
      </c>
      <c r="O63" s="5" t="s">
        <v>7</v>
      </c>
      <c r="P63" s="5">
        <v>10</v>
      </c>
      <c r="Q63" s="5" t="str">
        <f ca="1">IFERROR(__xludf.DUMMYFUNCTION("""COMPUTED_VALUE"""),"NACION")</f>
        <v>NACION</v>
      </c>
      <c r="R63" s="5" t="str">
        <f ca="1">IFERROR(__xludf.DUMMYFUNCTION("""COMPUTED_VALUE"""),"CO1.PCCNTR.3392135")</f>
        <v>CO1.PCCNTR.3392135</v>
      </c>
      <c r="S63" s="14" t="str">
        <f ca="1">IFERROR(__xludf.DUMMYFUNCTION("""COMPUTED_VALUE"""),"https://community.secop.gov.co/Public/Tendering/OpportunityDetail/Index?noticeUID=CO1.NTC.2582281&amp;isFromPublicArea=True&amp;isModal=False")</f>
        <v>https://community.secop.gov.co/Public/Tendering/OpportunityDetail/Index?noticeUID=CO1.NTC.2582281&amp;isFromPublicArea=True&amp;isModal=False</v>
      </c>
      <c r="T63" s="5" t="s">
        <v>0</v>
      </c>
    </row>
    <row r="64" spans="1:20" ht="15.75" customHeight="1">
      <c r="A64" s="5" t="str">
        <f ca="1">IFERROR(__xludf.DUMMYFUNCTION("""COMPUTED_VALUE"""),"241 SEVILLA")</f>
        <v>241 SEVILLA</v>
      </c>
      <c r="B64" s="5" t="str">
        <f ca="1">IFERROR(__xludf.DUMMYFUNCTION("""COMPUTED_VALUE"""),"107480")</f>
        <v>107480</v>
      </c>
      <c r="C64" s="5" t="str">
        <f ca="1">IFERROR(__xludf.DUMMYFUNCTION("""COMPUTED_VALUE"""),"ACUERDO MARCO DE PRECIOS")</f>
        <v>ACUERDO MARCO DE PRECIOS</v>
      </c>
      <c r="D64" s="5" t="str">
        <f ca="1">IFERROR(__xludf.DUMMYFUNCTION("""COMPUTED_VALUE"""),"COMPRAVENTA")</f>
        <v>COMPRAVENTA</v>
      </c>
      <c r="E64" s="5" t="str">
        <f ca="1">IFERROR(__xludf.DUMMYFUNCTION("""COMPUTED_VALUE"""),"POLIFLEX")</f>
        <v>POLIFLEX</v>
      </c>
      <c r="F64" s="5" t="str">
        <f ca="1">IFERROR(__xludf.DUMMYFUNCTION("""COMPUTED_VALUE"""),"COMPRA D ECOLCHONETAS PAR ALOS PPL")</f>
        <v>COMPRA D ECOLCHONETAS PAR ALOS PPL</v>
      </c>
      <c r="G64" s="11">
        <f ca="1">IFERROR(__xludf.DUMMYFUNCTION("""COMPUTED_VALUE"""),5612000)</f>
        <v>5612000</v>
      </c>
      <c r="H64" s="5">
        <v>0</v>
      </c>
      <c r="I64" s="11">
        <f t="shared" ca="1" si="0"/>
        <v>5612000</v>
      </c>
      <c r="J64" s="6">
        <f ca="1">IFERROR(__xludf.DUMMYFUNCTION("""COMPUTED_VALUE"""),45027)</f>
        <v>45027</v>
      </c>
      <c r="K64" s="6">
        <f ca="1">IFERROR(__xludf.DUMMYFUNCTION("""COMPUTED_VALUE"""),45076)</f>
        <v>45076</v>
      </c>
      <c r="L64" s="5" t="s">
        <v>0</v>
      </c>
      <c r="M64" s="6">
        <f ca="1">IFERROR(__xludf.DUMMYFUNCTION("""COMPUTED_VALUE"""),45076)</f>
        <v>45076</v>
      </c>
      <c r="N64" s="5" t="str">
        <f ca="1">IFERROR(__xludf.DUMMYFUNCTION("""COMPUTED_VALUE"""),"A-03-03-01-017")</f>
        <v>A-03-03-01-017</v>
      </c>
      <c r="O64" s="5" t="s">
        <v>6</v>
      </c>
      <c r="P64" s="5" t="str">
        <f ca="1">IFERROR(__xludf.DUMMYFUNCTION("""COMPUTED_VALUE"""),"10")</f>
        <v>10</v>
      </c>
      <c r="Q64" s="5" t="str">
        <f ca="1">IFERROR(__xludf.DUMMYFUNCTION("""COMPUTED_VALUE"""),"NACION")</f>
        <v>NACION</v>
      </c>
      <c r="R64" s="5" t="str">
        <f ca="1">IFERROR(__xludf.DUMMYFUNCTION("""COMPUTED_VALUE"""),"107480")</f>
        <v>107480</v>
      </c>
      <c r="S64" s="14" t="s">
        <v>82</v>
      </c>
      <c r="T64" s="5" t="s">
        <v>0</v>
      </c>
    </row>
    <row r="65" spans="1:20" ht="15.75" customHeight="1">
      <c r="A65" s="5" t="str">
        <f ca="1">IFERROR(__xludf.DUMMYFUNCTION("""COMPUTED_VALUE"""),"241 SEVILLA")</f>
        <v>241 SEVILLA</v>
      </c>
      <c r="B65" s="5" t="str">
        <f ca="1">IFERROR(__xludf.DUMMYFUNCTION("""COMPUTED_VALUE"""),"107661")</f>
        <v>107661</v>
      </c>
      <c r="C65" s="5" t="str">
        <f ca="1">IFERROR(__xludf.DUMMYFUNCTION("""COMPUTED_VALUE"""),"ACUERDO MARCO DE PRECIOS")</f>
        <v>ACUERDO MARCO DE PRECIOS</v>
      </c>
      <c r="D65" s="5" t="str">
        <f ca="1">IFERROR(__xludf.DUMMYFUNCTION("""COMPUTED_VALUE"""),"COMPRAVENTA")</f>
        <v>COMPRAVENTA</v>
      </c>
      <c r="E65" s="5" t="str">
        <f ca="1">IFERROR(__xludf.DUMMYFUNCTION("""COMPUTED_VALUE"""),"PANAMERICANA")</f>
        <v>PANAMERICANA</v>
      </c>
      <c r="F65" s="5" t="str">
        <f ca="1">IFERROR(__xludf.DUMMYFUNCTION("""COMPUTED_VALUE"""),"COMPRA INSUMOS DE INSUMOS D EFUNCIONAMIENTOS")</f>
        <v>COMPRA INSUMOS DE INSUMOS D EFUNCIONAMIENTOS</v>
      </c>
      <c r="G65" s="11">
        <f ca="1">IFERROR(__xludf.DUMMYFUNCTION("""COMPUTED_VALUE"""),2485119)</f>
        <v>2485119</v>
      </c>
      <c r="H65" s="5">
        <v>0</v>
      </c>
      <c r="I65" s="11">
        <f t="shared" ref="I65:I70" ca="1" si="2">+G65+H65</f>
        <v>2485119</v>
      </c>
      <c r="J65" s="6">
        <f ca="1">IFERROR(__xludf.DUMMYFUNCTION("""COMPUTED_VALUE"""),45029)</f>
        <v>45029</v>
      </c>
      <c r="K65" s="6">
        <f ca="1">IFERROR(__xludf.DUMMYFUNCTION("""COMPUTED_VALUE"""),45076)</f>
        <v>45076</v>
      </c>
      <c r="L65" s="5" t="s">
        <v>0</v>
      </c>
      <c r="M65" s="6">
        <f ca="1">IFERROR(__xludf.DUMMYFUNCTION("""COMPUTED_VALUE"""),45076)</f>
        <v>45076</v>
      </c>
      <c r="N65" s="5" t="str">
        <f ca="1">IFERROR(__xludf.DUMMYFUNCTION("""COMPUTED_VALUE"""),"A-02-0201-003-005")</f>
        <v>A-02-0201-003-005</v>
      </c>
      <c r="O65" s="5" t="s">
        <v>5</v>
      </c>
      <c r="P65" s="5" t="str">
        <f ca="1">IFERROR(__xludf.DUMMYFUNCTION("""COMPUTED_VALUE"""),"10")</f>
        <v>10</v>
      </c>
      <c r="Q65" s="5" t="str">
        <f ca="1">IFERROR(__xludf.DUMMYFUNCTION("""COMPUTED_VALUE"""),"NACION")</f>
        <v>NACION</v>
      </c>
      <c r="R65" s="5" t="str">
        <f ca="1">IFERROR(__xludf.DUMMYFUNCTION("""COMPUTED_VALUE"""),"107661")</f>
        <v>107661</v>
      </c>
      <c r="S65" s="14" t="s">
        <v>83</v>
      </c>
      <c r="T65" s="5" t="s">
        <v>0</v>
      </c>
    </row>
    <row r="66" spans="1:20" ht="15.75" customHeight="1">
      <c r="A66" s="5" t="str">
        <f ca="1">IFERROR(__xludf.DUMMYFUNCTION("""COMPUTED_VALUE"""),"241 SEVILLA")</f>
        <v>241 SEVILLA</v>
      </c>
      <c r="B66" s="5" t="str">
        <f ca="1">IFERROR(__xludf.DUMMYFUNCTION("""COMPUTED_VALUE"""),"108221")</f>
        <v>108221</v>
      </c>
      <c r="C66" s="5" t="str">
        <f ca="1">IFERROR(__xludf.DUMMYFUNCTION("""COMPUTED_VALUE"""),"ACUERDO MARCO DE PRECIOS")</f>
        <v>ACUERDO MARCO DE PRECIOS</v>
      </c>
      <c r="D66" s="5" t="str">
        <f ca="1">IFERROR(__xludf.DUMMYFUNCTION("""COMPUTED_VALUE"""),"COMPRAVENTA")</f>
        <v>COMPRAVENTA</v>
      </c>
      <c r="E66" s="5" t="str">
        <f ca="1">IFERROR(__xludf.DUMMYFUNCTION("""COMPUTED_VALUE"""),"PANAMERICANA")</f>
        <v>PANAMERICANA</v>
      </c>
      <c r="F66" s="5" t="str">
        <f ca="1">IFERROR(__xludf.DUMMYFUNCTION("""COMPUTED_VALUE"""),"COMPRA MATERIAL DIDACTICO EDUCATIVAS")</f>
        <v>COMPRA MATERIAL DIDACTICO EDUCATIVAS</v>
      </c>
      <c r="G66" s="11">
        <f ca="1">IFERROR(__xludf.DUMMYFUNCTION("""COMPUTED_VALUE"""),6998000)</f>
        <v>6998000</v>
      </c>
      <c r="H66" s="5">
        <v>0</v>
      </c>
      <c r="I66" s="11">
        <f t="shared" ca="1" si="2"/>
        <v>6998000</v>
      </c>
      <c r="J66" s="6">
        <f ca="1">IFERROR(__xludf.DUMMYFUNCTION("""COMPUTED_VALUE"""),45040)</f>
        <v>45040</v>
      </c>
      <c r="K66" s="6">
        <f ca="1">IFERROR(__xludf.DUMMYFUNCTION("""COMPUTED_VALUE"""),45076)</f>
        <v>45076</v>
      </c>
      <c r="L66" s="5" t="s">
        <v>0</v>
      </c>
      <c r="M66" s="6">
        <f ca="1">IFERROR(__xludf.DUMMYFUNCTION("""COMPUTED_VALUE"""),45076)</f>
        <v>45076</v>
      </c>
      <c r="N66" s="5" t="str">
        <f ca="1">IFERROR(__xludf.DUMMYFUNCTION("""COMPUTED_VALUE"""),"A-03-03-01-017")</f>
        <v>A-03-03-01-017</v>
      </c>
      <c r="O66" s="5" t="s">
        <v>5</v>
      </c>
      <c r="P66" s="5" t="str">
        <f ca="1">IFERROR(__xludf.DUMMYFUNCTION("""COMPUTED_VALUE"""),"10")</f>
        <v>10</v>
      </c>
      <c r="Q66" s="5" t="str">
        <f ca="1">IFERROR(__xludf.DUMMYFUNCTION("""COMPUTED_VALUE"""),"NACION")</f>
        <v>NACION</v>
      </c>
      <c r="R66" s="5" t="str">
        <f ca="1">IFERROR(__xludf.DUMMYFUNCTION("""COMPUTED_VALUE"""),"108221")</f>
        <v>108221</v>
      </c>
      <c r="S66" s="14" t="s">
        <v>84</v>
      </c>
      <c r="T66" s="5" t="s">
        <v>0</v>
      </c>
    </row>
    <row r="67" spans="1:20" ht="15.75" customHeight="1">
      <c r="A67" s="5" t="str">
        <f ca="1">IFERROR(__xludf.DUMMYFUNCTION("""COMPUTED_VALUE"""),"241 SEVILLA")</f>
        <v>241 SEVILLA</v>
      </c>
      <c r="B67" s="5" t="str">
        <f ca="1">IFERROR(__xludf.DUMMYFUNCTION("""COMPUTED_VALUE"""),"108555")</f>
        <v>108555</v>
      </c>
      <c r="C67" s="5" t="str">
        <f ca="1">IFERROR(__xludf.DUMMYFUNCTION("""COMPUTED_VALUE"""),"ACUERDO MARCO DE PRECIOS")</f>
        <v>ACUERDO MARCO DE PRECIOS</v>
      </c>
      <c r="D67" s="5" t="str">
        <f ca="1">IFERROR(__xludf.DUMMYFUNCTION("""COMPUTED_VALUE"""),"COMPRAVENTA")</f>
        <v>COMPRAVENTA</v>
      </c>
      <c r="E67" s="5" t="str">
        <f ca="1">IFERROR(__xludf.DUMMYFUNCTION("""COMPUTED_VALUE"""),"PROVEER INSTITUCIONAL")</f>
        <v>PROVEER INSTITUCIONAL</v>
      </c>
      <c r="F67" s="5" t="str">
        <f ca="1">IFERROR(__xludf.DUMMYFUNCTION("""COMPUTED_VALUE"""),"COMPRA EQUIPOO PÀNDERIA")</f>
        <v>COMPRA EQUIPOO PÀNDERIA</v>
      </c>
      <c r="G67" s="11">
        <f ca="1">IFERROR(__xludf.DUMMYFUNCTION("""COMPUTED_VALUE"""),4090000)</f>
        <v>4090000</v>
      </c>
      <c r="H67" s="5">
        <v>0</v>
      </c>
      <c r="I67" s="11">
        <f t="shared" ca="1" si="2"/>
        <v>4090000</v>
      </c>
      <c r="J67" s="6">
        <f ca="1">IFERROR(__xludf.DUMMYFUNCTION("""COMPUTED_VALUE"""),45043)</f>
        <v>45043</v>
      </c>
      <c r="K67" s="6">
        <f ca="1">IFERROR(__xludf.DUMMYFUNCTION("""COMPUTED_VALUE"""),45043)</f>
        <v>45043</v>
      </c>
      <c r="L67" s="5" t="s">
        <v>0</v>
      </c>
      <c r="M67" s="6">
        <v>45290</v>
      </c>
      <c r="N67" s="5" t="str">
        <f ca="1">IFERROR(__xludf.DUMMYFUNCTION("""COMPUTED_VALUE"""),"A-05-01-01-004")</f>
        <v>A-05-01-01-004</v>
      </c>
      <c r="O67" s="5" t="s">
        <v>5</v>
      </c>
      <c r="P67" s="5" t="str">
        <f ca="1">IFERROR(__xludf.DUMMYFUNCTION("""COMPUTED_VALUE"""),"10")</f>
        <v>10</v>
      </c>
      <c r="Q67" s="5" t="str">
        <f ca="1">IFERROR(__xludf.DUMMYFUNCTION("""COMPUTED_VALUE"""),"NACION")</f>
        <v>NACION</v>
      </c>
      <c r="R67" s="5" t="str">
        <f ca="1">IFERROR(__xludf.DUMMYFUNCTION("""COMPUTED_VALUE"""),"108555")</f>
        <v>108555</v>
      </c>
      <c r="S67" s="14" t="s">
        <v>85</v>
      </c>
      <c r="T67" s="5" t="s">
        <v>0</v>
      </c>
    </row>
    <row r="68" spans="1:20" ht="15.75" customHeight="1">
      <c r="A68" s="5" t="str">
        <f ca="1">IFERROR(__xludf.DUMMYFUNCTION("""COMPUTED_VALUE"""),"242 JAMUNDI")</f>
        <v>242 JAMUNDI</v>
      </c>
      <c r="B68" s="5" t="str">
        <f ca="1">IFERROR(__xludf.DUMMYFUNCTION("""COMPUTED_VALUE"""),"107379")</f>
        <v>107379</v>
      </c>
      <c r="C68" s="5" t="str">
        <f ca="1">IFERROR(__xludf.DUMMYFUNCTION("""COMPUTED_VALUE"""),"GRANDES SUPERFICIES")</f>
        <v>GRANDES SUPERFICIES</v>
      </c>
      <c r="D68" s="5" t="str">
        <f ca="1">IFERROR(__xludf.DUMMYFUNCTION("""COMPUTED_VALUE"""),"COMPRAVENTA")</f>
        <v>COMPRAVENTA</v>
      </c>
      <c r="E68" s="5" t="str">
        <f ca="1">IFERROR(__xludf.DUMMYFUNCTION("""COMPUTED_VALUE"""),"PANAMERICANA")</f>
        <v>PANAMERICANA</v>
      </c>
      <c r="F68" s="5" t="str">
        <f ca="1">IFERROR(__xludf.DUMMYFUNCTION("""COMPUTED_VALUE"""),"ADQUISICION ARTICULOS DE ASEO, ALIMENTOS Y OTROS ELEMENTOS PARA EL PROGRAMA DE ATENCION A NIÑOS MENORES DE TRES AÑOS DEL COMPLEJO CARCELARIO Y PENITENCIARIO DECON ALTA Y MEDIA SEGURIDAD DE JAMUNDI –COJAM- ")</f>
        <v xml:space="preserve">ADQUISICION ARTICULOS DE ASEO, ALIMENTOS Y OTROS ELEMENTOS PARA EL PROGRAMA DE ATENCION A NIÑOS MENORES DE TRES AÑOS DEL COMPLEJO CARCELARIO Y PENITENCIARIO DECON ALTA Y MEDIA SEGURIDAD DE JAMUNDI –COJAM- </v>
      </c>
      <c r="G68" s="11">
        <f ca="1">IFERROR(__xludf.DUMMYFUNCTION("""COMPUTED_VALUE"""),18354117)</f>
        <v>18354117</v>
      </c>
      <c r="H68" s="5">
        <v>0</v>
      </c>
      <c r="I68" s="11">
        <f t="shared" ca="1" si="2"/>
        <v>18354117</v>
      </c>
      <c r="J68" s="6">
        <f ca="1">IFERROR(__xludf.DUMMYFUNCTION("""COMPUTED_VALUE"""),45028)</f>
        <v>45028</v>
      </c>
      <c r="K68" s="6">
        <f ca="1">IFERROR(__xludf.DUMMYFUNCTION("""COMPUTED_VALUE"""),45033)</f>
        <v>45033</v>
      </c>
      <c r="L68" s="5" t="s">
        <v>0</v>
      </c>
      <c r="M68" s="6">
        <f ca="1">IFERROR(__xludf.DUMMYFUNCTION("""COMPUTED_VALUE"""),45050)</f>
        <v>45050</v>
      </c>
      <c r="N68" s="5" t="str">
        <f ca="1">IFERROR(__xludf.DUMMYFUNCTION("""COMPUTED_VALUE"""),"A-03-03-01-01-017")</f>
        <v>A-03-03-01-01-017</v>
      </c>
      <c r="O68" s="5" t="s">
        <v>3</v>
      </c>
      <c r="P68" s="5">
        <v>10</v>
      </c>
      <c r="Q68" s="5" t="str">
        <f ca="1">IFERROR(__xludf.DUMMYFUNCTION("""COMPUTED_VALUE"""),"NACION")</f>
        <v>NACION</v>
      </c>
      <c r="R68" s="5" t="str">
        <f ca="1">IFERROR(__xludf.DUMMYFUNCTION("""COMPUTED_VALUE"""),"107379")</f>
        <v>107379</v>
      </c>
      <c r="S68" s="15" t="s">
        <v>86</v>
      </c>
      <c r="T68" s="5" t="s">
        <v>0</v>
      </c>
    </row>
    <row r="69" spans="1:20" ht="15.75" customHeight="1">
      <c r="A69" s="5" t="str">
        <f ca="1">IFERROR(__xludf.DUMMYFUNCTION("""COMPUTED_VALUE"""),"242 JAMUNDI")</f>
        <v>242 JAMUNDI</v>
      </c>
      <c r="B69" s="5" t="str">
        <f ca="1">IFERROR(__xludf.DUMMYFUNCTION("""COMPUTED_VALUE"""),"MC-INV-004-2024")</f>
        <v>MC-INV-004-2024</v>
      </c>
      <c r="C69" s="5" t="str">
        <f ca="1">IFERROR(__xludf.DUMMYFUNCTION("""COMPUTED_VALUE"""),"MÍNIMA CUANTÍA")</f>
        <v>MÍNIMA CUANTÍA</v>
      </c>
      <c r="D69" s="5" t="str">
        <f ca="1">IFERROR(__xludf.DUMMYFUNCTION("""COMPUTED_VALUE"""),"COMPRAVENTA")</f>
        <v>COMPRAVENTA</v>
      </c>
      <c r="E69" s="5" t="str">
        <f ca="1">IFERROR(__xludf.DUMMYFUNCTION("""COMPUTED_VALUE"""),"VEGAS SUMINISTROS EMPRESARIALES SAS")</f>
        <v>VEGAS SUMINISTROS EMPRESARIALES SAS</v>
      </c>
      <c r="F69" s="5" t="str">
        <f ca="1">IFERROR(__xludf.DUMMYFUNCTION("""COMPUTED_VALUE"""),"COMPRA DE PRODUCTOS DE ASEO Y LIMPIEZA” PARA EL COMPLEJO CARCELARIO Y PENITENCIARIO CON ALTA Y MEDIANA SEGURIDAD DE JAMUNDI -COJAM-  ")</f>
        <v xml:space="preserve">COMPRA DE PRODUCTOS DE ASEO Y LIMPIEZA” PARA EL COMPLEJO CARCELARIO Y PENITENCIARIO CON ALTA Y MEDIANA SEGURIDAD DE JAMUNDI -COJAM-  </v>
      </c>
      <c r="G69" s="11">
        <f ca="1">IFERROR(__xludf.DUMMYFUNCTION("""COMPUTED_VALUE"""),36310229)</f>
        <v>36310229</v>
      </c>
      <c r="H69" s="5">
        <v>0</v>
      </c>
      <c r="I69" s="11">
        <f t="shared" ca="1" si="2"/>
        <v>36310229</v>
      </c>
      <c r="J69" s="6">
        <f ca="1">IFERROR(__xludf.DUMMYFUNCTION("""COMPUTED_VALUE"""),45027)</f>
        <v>45027</v>
      </c>
      <c r="K69" s="6">
        <f ca="1">IFERROR(__xludf.DUMMYFUNCTION("""COMPUTED_VALUE"""),45030)</f>
        <v>45030</v>
      </c>
      <c r="L69" s="5" t="s">
        <v>0</v>
      </c>
      <c r="M69" s="6">
        <f ca="1">IFERROR(__xludf.DUMMYFUNCTION("""COMPUTED_VALUE"""),45061)</f>
        <v>45061</v>
      </c>
      <c r="N69" s="5" t="str">
        <f ca="1">IFERROR(__xludf.DUMMYFUNCTION("""COMPUTED_VALUE"""),"A-02-02-01-003-005")</f>
        <v>A-02-02-01-003-005</v>
      </c>
      <c r="O69" s="5" t="s">
        <v>2</v>
      </c>
      <c r="P69" s="5">
        <v>10</v>
      </c>
      <c r="Q69" s="5" t="str">
        <f ca="1">IFERROR(__xludf.DUMMYFUNCTION("""COMPUTED_VALUE"""),"NACION")</f>
        <v>NACION</v>
      </c>
      <c r="R69" s="5" t="str">
        <f ca="1">IFERROR(__xludf.DUMMYFUNCTION("""COMPUTED_VALUE"""),"MC-INV-004-2024")</f>
        <v>MC-INV-004-2024</v>
      </c>
      <c r="S69" s="14" t="str">
        <f ca="1">IFERROR(__xludf.DUMMYFUNCTION("""COMPUTED_VALUE"""),"https://www.secop.gov.co/CO1BusinessLine/Tendering/BuyerWorkArea/Index?DocUniqueIdentifier=CO1.BDOS.4205388")</f>
        <v>https://www.secop.gov.co/CO1BusinessLine/Tendering/BuyerWorkArea/Index?DocUniqueIdentifier=CO1.BDOS.4205388</v>
      </c>
      <c r="T69" s="5" t="s">
        <v>0</v>
      </c>
    </row>
    <row r="70" spans="1:20" ht="15.75" customHeight="1">
      <c r="A70" s="5" t="str">
        <f ca="1">IFERROR(__xludf.DUMMYFUNCTION("""COMPUTED_VALUE"""),"242 JAMUNDI")</f>
        <v>242 JAMUNDI</v>
      </c>
      <c r="B70" s="5" t="str">
        <f ca="1">IFERROR(__xludf.DUMMYFUNCTION("""COMPUTED_VALUE"""),"SASI-004-2023")</f>
        <v>SASI-004-2023</v>
      </c>
      <c r="C70" s="5" t="str">
        <f ca="1">IFERROR(__xludf.DUMMYFUNCTION("""COMPUTED_VALUE"""),"SELECCIÓN ABREVIADA POR SUBASTA INVERSA")</f>
        <v>SELECCIÓN ABREVIADA POR SUBASTA INVERSA</v>
      </c>
      <c r="D70" s="5" t="str">
        <f ca="1">IFERROR(__xludf.DUMMYFUNCTION("""COMPUTED_VALUE"""),"SUMINISTRO")</f>
        <v>SUMINISTRO</v>
      </c>
      <c r="E70" s="5" t="str">
        <f ca="1">IFERROR(__xludf.DUMMYFUNCTION("""COMPUTED_VALUE"""),"ENRUTA TRADE SAS")</f>
        <v>ENRUTA TRADE SAS</v>
      </c>
      <c r="F70" s="5" t="str">
        <f ca="1">IFERROR(__xludf.DUMMYFUNCTION("""COMPUTED_VALUE"""),"CONTRATAR EL SUMINISTRO DE ALIMENTO CONCENTRADO, MATERIAL VETERINARIO Y ATENCION MEDICA VETERINARIA PARA LOS SEMOVIENTES CANINOS ASIGNADOS DE 14 ESTABLECIMIENTOS DE RECLUSION DE LA REGIONAL OCCIDENTE")</f>
        <v>CONTRATAR EL SUMINISTRO DE ALIMENTO CONCENTRADO, MATERIAL VETERINARIO Y ATENCION MEDICA VETERINARIA PARA LOS SEMOVIENTES CANINOS ASIGNADOS DE 14 ESTABLECIMIENTOS DE RECLUSION DE LA REGIONAL OCCIDENTE</v>
      </c>
      <c r="G70" s="11">
        <f ca="1">IFERROR(__xludf.DUMMYFUNCTION("""COMPUTED_VALUE"""),150303472)</f>
        <v>150303472</v>
      </c>
      <c r="H70" s="5">
        <v>0</v>
      </c>
      <c r="I70" s="11">
        <f t="shared" ca="1" si="2"/>
        <v>150303472</v>
      </c>
      <c r="J70" s="6">
        <f ca="1">IFERROR(__xludf.DUMMYFUNCTION("""COMPUTED_VALUE"""),45026)</f>
        <v>45026</v>
      </c>
      <c r="K70" s="6">
        <f ca="1">IFERROR(__xludf.DUMMYFUNCTION("""COMPUTED_VALUE"""),45040)</f>
        <v>45040</v>
      </c>
      <c r="L70" s="5" t="s">
        <v>0</v>
      </c>
      <c r="M70" s="6">
        <f ca="1">IFERROR(__xludf.DUMMYFUNCTION("""COMPUTED_VALUE"""),45260)</f>
        <v>45260</v>
      </c>
      <c r="N70" s="5" t="str">
        <f ca="1">IFERROR(__xludf.DUMMYFUNCTION("""COMPUTED_VALUE"""),"A-02-02-01-002-003")</f>
        <v>A-02-02-01-002-003</v>
      </c>
      <c r="O70" s="5" t="s">
        <v>1</v>
      </c>
      <c r="P70" s="5">
        <v>10</v>
      </c>
      <c r="Q70" s="5" t="str">
        <f ca="1">IFERROR(__xludf.DUMMYFUNCTION("""COMPUTED_VALUE"""),"NACION")</f>
        <v>NACION</v>
      </c>
      <c r="R70" s="5" t="str">
        <f ca="1">IFERROR(__xludf.DUMMYFUNCTION("""COMPUTED_VALUE"""),"SASI-004-2023")</f>
        <v>SASI-004-2023</v>
      </c>
      <c r="S70" s="14" t="str">
        <f ca="1">IFERROR(__xludf.DUMMYFUNCTION("""COMPUTED_VALUE"""),"https://www.secop.gov.co/CO1BusinessLine/Tendering/BuyerWorkArea/Index?DocUniqueIdentifier=CO1.BDOS.4103360")</f>
        <v>https://www.secop.gov.co/CO1BusinessLine/Tendering/BuyerWorkArea/Index?DocUniqueIdentifier=CO1.BDOS.4103360</v>
      </c>
      <c r="T70" s="5" t="s">
        <v>0</v>
      </c>
    </row>
    <row r="71" spans="1:20" ht="15.75" customHeight="1">
      <c r="A71" s="5"/>
      <c r="B71" s="5"/>
      <c r="C71" s="5"/>
      <c r="D71" s="5"/>
      <c r="E71" s="5"/>
      <c r="F71" s="5"/>
      <c r="G71" s="5"/>
      <c r="H71" s="5"/>
      <c r="I71" s="5"/>
      <c r="J71" s="6"/>
      <c r="K71" s="6"/>
      <c r="L71" s="5"/>
      <c r="M71" s="6"/>
      <c r="N71" s="5"/>
      <c r="O71" s="5"/>
      <c r="P71" s="5"/>
      <c r="Q71" s="5"/>
      <c r="R71" s="5"/>
      <c r="S71" s="5"/>
      <c r="T71" s="5"/>
    </row>
    <row r="72" spans="1:20" ht="15.75" customHeight="1">
      <c r="A72" s="5"/>
      <c r="B72" s="5"/>
      <c r="C72" s="5"/>
      <c r="D72" s="5"/>
      <c r="E72" s="5"/>
      <c r="F72" s="5"/>
      <c r="G72" s="5"/>
      <c r="H72" s="5"/>
      <c r="I72" s="5"/>
      <c r="J72" s="6"/>
      <c r="K72" s="6"/>
      <c r="L72" s="5"/>
      <c r="M72" s="6"/>
      <c r="N72" s="5"/>
      <c r="O72" s="5"/>
      <c r="P72" s="5"/>
      <c r="Q72" s="5"/>
      <c r="R72" s="5"/>
      <c r="S72" s="5"/>
      <c r="T72" s="5"/>
    </row>
    <row r="73" spans="1:20" ht="15.75" customHeight="1">
      <c r="A73" s="5"/>
      <c r="B73" s="5"/>
      <c r="C73" s="5"/>
      <c r="D73" s="5"/>
      <c r="E73" s="5"/>
      <c r="F73" s="5"/>
      <c r="G73" s="5"/>
      <c r="H73" s="5"/>
      <c r="I73" s="5"/>
      <c r="J73" s="6"/>
      <c r="K73" s="6"/>
      <c r="L73" s="5"/>
      <c r="M73" s="6"/>
      <c r="N73" s="5"/>
      <c r="O73" s="5"/>
      <c r="P73" s="5"/>
      <c r="Q73" s="5"/>
      <c r="R73" s="5"/>
      <c r="S73" s="5"/>
      <c r="T73" s="5"/>
    </row>
    <row r="74" spans="1:20" ht="15.75" customHeight="1">
      <c r="A74" s="5"/>
      <c r="B74" s="5"/>
      <c r="C74" s="5"/>
      <c r="D74" s="5"/>
      <c r="E74" s="5"/>
      <c r="F74" s="5"/>
      <c r="G74" s="5"/>
      <c r="H74" s="5"/>
      <c r="I74" s="5"/>
      <c r="J74" s="6"/>
      <c r="K74" s="6"/>
      <c r="L74" s="5"/>
      <c r="M74" s="6"/>
      <c r="N74" s="5"/>
      <c r="O74" s="5"/>
      <c r="P74" s="5"/>
      <c r="Q74" s="5"/>
      <c r="R74" s="5"/>
      <c r="S74" s="5"/>
      <c r="T74" s="5"/>
    </row>
    <row r="75" spans="1:20" ht="15.75" customHeight="1">
      <c r="A75" s="5"/>
      <c r="B75" s="5"/>
      <c r="C75" s="5"/>
      <c r="D75" s="5"/>
      <c r="E75" s="5"/>
      <c r="F75" s="5"/>
      <c r="G75" s="5"/>
      <c r="H75" s="5"/>
      <c r="I75" s="5"/>
      <c r="J75" s="6"/>
      <c r="K75" s="6"/>
      <c r="L75" s="5"/>
      <c r="M75" s="6"/>
      <c r="N75" s="5"/>
      <c r="O75" s="5"/>
      <c r="P75" s="5"/>
      <c r="Q75" s="5"/>
      <c r="R75" s="5"/>
      <c r="S75" s="5"/>
      <c r="T75" s="5"/>
    </row>
    <row r="76" spans="1:20" ht="15.75" customHeight="1">
      <c r="A76" s="5"/>
      <c r="B76" s="5"/>
      <c r="C76" s="5"/>
      <c r="D76" s="5"/>
      <c r="E76" s="5"/>
      <c r="F76" s="5"/>
      <c r="G76" s="5"/>
      <c r="H76" s="5"/>
      <c r="I76" s="5"/>
      <c r="J76" s="6"/>
      <c r="K76" s="6"/>
      <c r="L76" s="5"/>
      <c r="M76" s="6"/>
      <c r="N76" s="5"/>
      <c r="O76" s="5"/>
      <c r="P76" s="5"/>
      <c r="Q76" s="5"/>
      <c r="R76" s="5"/>
      <c r="S76" s="5"/>
      <c r="T76" s="5"/>
    </row>
    <row r="77" spans="1:20" ht="15.75" customHeight="1">
      <c r="A77" s="5"/>
      <c r="B77" s="5"/>
      <c r="C77" s="5"/>
      <c r="D77" s="5"/>
      <c r="E77" s="5"/>
      <c r="F77" s="5"/>
      <c r="G77" s="5"/>
      <c r="H77" s="5"/>
      <c r="I77" s="5"/>
      <c r="J77" s="6"/>
      <c r="K77" s="6"/>
      <c r="L77" s="5"/>
      <c r="M77" s="6"/>
      <c r="N77" s="5"/>
      <c r="O77" s="5"/>
      <c r="P77" s="5"/>
      <c r="Q77" s="5"/>
      <c r="R77" s="5"/>
      <c r="S77" s="5"/>
      <c r="T77" s="5"/>
    </row>
    <row r="78" spans="1:20" ht="15.75" customHeight="1">
      <c r="A78" s="5"/>
      <c r="B78" s="5"/>
      <c r="C78" s="5"/>
      <c r="D78" s="5"/>
      <c r="E78" s="5"/>
      <c r="F78" s="5"/>
      <c r="G78" s="5"/>
      <c r="H78" s="5"/>
      <c r="I78" s="5"/>
      <c r="J78" s="6"/>
      <c r="K78" s="6"/>
      <c r="L78" s="5"/>
      <c r="M78" s="6"/>
      <c r="N78" s="5"/>
      <c r="O78" s="5"/>
      <c r="P78" s="5"/>
      <c r="Q78" s="5"/>
      <c r="R78" s="5"/>
      <c r="S78" s="5"/>
      <c r="T78" s="5"/>
    </row>
    <row r="79" spans="1:20" ht="15.75" customHeight="1">
      <c r="A79" s="5"/>
      <c r="B79" s="5"/>
      <c r="C79" s="5"/>
      <c r="D79" s="5"/>
      <c r="E79" s="5"/>
      <c r="F79" s="5"/>
      <c r="G79" s="5"/>
      <c r="H79" s="5"/>
      <c r="I79" s="5"/>
      <c r="J79" s="6"/>
      <c r="K79" s="6"/>
      <c r="L79" s="5"/>
      <c r="M79" s="6"/>
      <c r="N79" s="5"/>
      <c r="O79" s="5"/>
      <c r="P79" s="5"/>
      <c r="Q79" s="5"/>
      <c r="R79" s="5"/>
      <c r="S79" s="5"/>
      <c r="T79" s="5"/>
    </row>
    <row r="80" spans="1:20" ht="15.75" customHeight="1">
      <c r="A80" s="5"/>
      <c r="B80" s="5"/>
      <c r="C80" s="5"/>
      <c r="D80" s="5"/>
      <c r="E80" s="5"/>
      <c r="F80" s="5"/>
      <c r="G80" s="5"/>
      <c r="H80" s="5"/>
      <c r="I80" s="5"/>
      <c r="J80" s="6"/>
      <c r="K80" s="6"/>
      <c r="L80" s="5"/>
      <c r="M80" s="6"/>
      <c r="N80" s="5"/>
      <c r="O80" s="5"/>
      <c r="P80" s="5"/>
      <c r="Q80" s="5"/>
      <c r="R80" s="5"/>
      <c r="S80" s="5"/>
      <c r="T80" s="5"/>
    </row>
    <row r="81" spans="1:20" ht="15.75" customHeight="1">
      <c r="A81" s="5"/>
      <c r="B81" s="5"/>
      <c r="C81" s="5"/>
      <c r="D81" s="5"/>
      <c r="E81" s="5"/>
      <c r="F81" s="5"/>
      <c r="G81" s="5"/>
      <c r="H81" s="5"/>
      <c r="I81" s="5"/>
      <c r="J81" s="6"/>
      <c r="K81" s="6"/>
      <c r="L81" s="5"/>
      <c r="M81" s="6"/>
      <c r="N81" s="5"/>
      <c r="O81" s="5"/>
      <c r="P81" s="5"/>
      <c r="Q81" s="5"/>
      <c r="R81" s="5"/>
      <c r="S81" s="5"/>
      <c r="T81" s="5"/>
    </row>
    <row r="82" spans="1:20" ht="15.75" customHeight="1">
      <c r="A82" s="5"/>
      <c r="B82" s="5"/>
      <c r="C82" s="5"/>
      <c r="D82" s="5"/>
      <c r="E82" s="5"/>
      <c r="F82" s="5"/>
      <c r="G82" s="5"/>
      <c r="H82" s="5"/>
      <c r="I82" s="5"/>
      <c r="J82" s="6"/>
      <c r="K82" s="6"/>
      <c r="L82" s="5"/>
      <c r="M82" s="6"/>
      <c r="N82" s="5"/>
      <c r="O82" s="5"/>
      <c r="P82" s="5"/>
      <c r="Q82" s="5"/>
      <c r="R82" s="5"/>
      <c r="S82" s="5"/>
      <c r="T82" s="5"/>
    </row>
    <row r="83" spans="1:20" ht="15.75" customHeight="1">
      <c r="A83" s="5"/>
      <c r="B83" s="5"/>
      <c r="C83" s="5"/>
      <c r="D83" s="5"/>
      <c r="E83" s="5"/>
      <c r="F83" s="5"/>
      <c r="G83" s="5"/>
      <c r="H83" s="5"/>
      <c r="I83" s="5"/>
      <c r="J83" s="6"/>
      <c r="K83" s="6"/>
      <c r="L83" s="5"/>
      <c r="M83" s="6"/>
      <c r="N83" s="5"/>
      <c r="O83" s="5"/>
      <c r="P83" s="5"/>
      <c r="Q83" s="5"/>
      <c r="R83" s="5"/>
      <c r="S83" s="5"/>
      <c r="T83" s="5"/>
    </row>
    <row r="84" spans="1:20" ht="15.75" customHeight="1">
      <c r="A84" s="5"/>
      <c r="B84" s="5"/>
      <c r="C84" s="5"/>
      <c r="D84" s="5"/>
      <c r="E84" s="5"/>
      <c r="F84" s="5"/>
      <c r="G84" s="5"/>
      <c r="H84" s="5"/>
      <c r="I84" s="5"/>
      <c r="J84" s="6"/>
      <c r="K84" s="6"/>
      <c r="L84" s="5"/>
      <c r="M84" s="6"/>
      <c r="N84" s="5"/>
      <c r="O84" s="5"/>
      <c r="P84" s="5"/>
      <c r="Q84" s="5"/>
      <c r="R84" s="5"/>
      <c r="S84" s="5"/>
      <c r="T84" s="5"/>
    </row>
    <row r="85" spans="1:20" ht="15.75" customHeight="1">
      <c r="A85" s="5"/>
      <c r="B85" s="5"/>
      <c r="C85" s="5"/>
      <c r="D85" s="5"/>
      <c r="E85" s="5"/>
      <c r="F85" s="5"/>
      <c r="G85" s="5"/>
      <c r="H85" s="5"/>
      <c r="I85" s="5"/>
      <c r="J85" s="6"/>
      <c r="K85" s="6"/>
      <c r="L85" s="5"/>
      <c r="M85" s="6"/>
      <c r="N85" s="5"/>
      <c r="O85" s="5"/>
      <c r="P85" s="5"/>
      <c r="Q85" s="5"/>
      <c r="R85" s="5"/>
      <c r="S85" s="5"/>
      <c r="T85" s="5"/>
    </row>
    <row r="86" spans="1:20" ht="15.75" customHeight="1">
      <c r="A86" s="5"/>
      <c r="B86" s="5"/>
      <c r="C86" s="5"/>
      <c r="D86" s="5"/>
      <c r="E86" s="5"/>
      <c r="F86" s="5"/>
      <c r="G86" s="5"/>
      <c r="H86" s="5"/>
      <c r="I86" s="5"/>
      <c r="J86" s="6"/>
      <c r="K86" s="6"/>
      <c r="L86" s="5"/>
      <c r="M86" s="6"/>
      <c r="N86" s="5"/>
      <c r="O86" s="5"/>
      <c r="P86" s="5"/>
      <c r="Q86" s="5"/>
      <c r="R86" s="5"/>
      <c r="S86" s="5"/>
      <c r="T86" s="5"/>
    </row>
    <row r="87" spans="1:20" ht="15.75" customHeight="1">
      <c r="A87" s="5"/>
      <c r="B87" s="5"/>
      <c r="C87" s="5"/>
      <c r="D87" s="5"/>
      <c r="E87" s="5"/>
      <c r="F87" s="5"/>
      <c r="G87" s="5"/>
      <c r="H87" s="5"/>
      <c r="I87" s="5"/>
      <c r="J87" s="6"/>
      <c r="K87" s="6"/>
      <c r="L87" s="5"/>
      <c r="M87" s="6"/>
      <c r="N87" s="5"/>
      <c r="O87" s="5"/>
      <c r="P87" s="5"/>
      <c r="Q87" s="5"/>
      <c r="R87" s="5"/>
      <c r="S87" s="5"/>
      <c r="T87" s="5"/>
    </row>
    <row r="88" spans="1:20" ht="15.75" customHeight="1">
      <c r="A88" s="5"/>
      <c r="B88" s="5"/>
      <c r="C88" s="5"/>
      <c r="D88" s="5"/>
      <c r="E88" s="5"/>
      <c r="F88" s="5"/>
      <c r="G88" s="5"/>
      <c r="H88" s="5"/>
      <c r="I88" s="5"/>
      <c r="J88" s="6"/>
      <c r="K88" s="6"/>
      <c r="L88" s="5"/>
      <c r="M88" s="6"/>
      <c r="N88" s="5"/>
      <c r="O88" s="5"/>
      <c r="P88" s="5"/>
      <c r="Q88" s="5"/>
      <c r="R88" s="5"/>
      <c r="S88" s="5"/>
      <c r="T88" s="5"/>
    </row>
    <row r="89" spans="1:20" ht="15.75" customHeight="1">
      <c r="A89" s="5"/>
      <c r="B89" s="5"/>
      <c r="C89" s="5"/>
      <c r="D89" s="5"/>
      <c r="E89" s="5"/>
      <c r="F89" s="5"/>
      <c r="G89" s="5"/>
      <c r="H89" s="5"/>
      <c r="I89" s="5"/>
      <c r="J89" s="6"/>
      <c r="K89" s="6"/>
      <c r="L89" s="5"/>
      <c r="M89" s="6"/>
      <c r="N89" s="5"/>
      <c r="O89" s="5"/>
      <c r="P89" s="5"/>
      <c r="Q89" s="5"/>
      <c r="R89" s="5"/>
      <c r="S89" s="5"/>
      <c r="T89" s="5"/>
    </row>
    <row r="90" spans="1:20" ht="15.75" customHeight="1">
      <c r="A90" s="5"/>
      <c r="B90" s="5"/>
      <c r="C90" s="5"/>
      <c r="D90" s="5"/>
      <c r="E90" s="5"/>
      <c r="F90" s="5"/>
      <c r="G90" s="5"/>
      <c r="H90" s="5"/>
      <c r="I90" s="5"/>
      <c r="J90" s="6"/>
      <c r="K90" s="6"/>
      <c r="L90" s="5"/>
      <c r="M90" s="6"/>
      <c r="N90" s="5"/>
      <c r="O90" s="5"/>
      <c r="P90" s="5"/>
      <c r="Q90" s="5"/>
      <c r="R90" s="5"/>
      <c r="S90" s="5"/>
      <c r="T90" s="5"/>
    </row>
    <row r="91" spans="1:20" ht="15.75" customHeight="1">
      <c r="A91" s="5"/>
      <c r="B91" s="5"/>
      <c r="C91" s="5"/>
      <c r="D91" s="5"/>
      <c r="E91" s="5"/>
      <c r="F91" s="5"/>
      <c r="G91" s="5"/>
      <c r="H91" s="5"/>
      <c r="I91" s="5"/>
      <c r="J91" s="6"/>
      <c r="K91" s="6"/>
      <c r="L91" s="5"/>
      <c r="M91" s="6"/>
      <c r="N91" s="5"/>
      <c r="O91" s="5"/>
      <c r="P91" s="5"/>
      <c r="Q91" s="5"/>
      <c r="R91" s="5"/>
      <c r="S91" s="5"/>
      <c r="T91" s="5"/>
    </row>
    <row r="92" spans="1:20" ht="15.75" customHeight="1">
      <c r="A92" s="5"/>
      <c r="B92" s="5"/>
      <c r="C92" s="5"/>
      <c r="D92" s="5"/>
      <c r="E92" s="5"/>
      <c r="F92" s="5"/>
      <c r="G92" s="5"/>
      <c r="H92" s="5"/>
      <c r="I92" s="5"/>
      <c r="J92" s="6"/>
      <c r="K92" s="6"/>
      <c r="L92" s="5"/>
      <c r="M92" s="6"/>
      <c r="N92" s="5"/>
      <c r="O92" s="5"/>
      <c r="P92" s="5"/>
      <c r="Q92" s="5"/>
      <c r="R92" s="5"/>
      <c r="S92" s="5"/>
      <c r="T92" s="5"/>
    </row>
    <row r="93" spans="1:20" ht="15.75" customHeight="1">
      <c r="A93" s="5"/>
      <c r="B93" s="5"/>
      <c r="C93" s="5"/>
      <c r="D93" s="5"/>
      <c r="E93" s="5"/>
      <c r="F93" s="5"/>
      <c r="G93" s="5"/>
      <c r="H93" s="5"/>
      <c r="I93" s="5"/>
      <c r="J93" s="6"/>
      <c r="K93" s="6"/>
      <c r="L93" s="5"/>
      <c r="M93" s="6"/>
      <c r="N93" s="5"/>
      <c r="O93" s="5"/>
      <c r="P93" s="5"/>
      <c r="Q93" s="5"/>
      <c r="R93" s="5"/>
      <c r="S93" s="5"/>
      <c r="T93" s="5"/>
    </row>
    <row r="94" spans="1:20" ht="15.75" customHeight="1">
      <c r="A94" s="5"/>
      <c r="B94" s="5"/>
      <c r="C94" s="5"/>
      <c r="D94" s="5"/>
      <c r="E94" s="5"/>
      <c r="F94" s="5"/>
      <c r="G94" s="5"/>
      <c r="H94" s="5"/>
      <c r="I94" s="5"/>
      <c r="J94" s="6"/>
      <c r="K94" s="6"/>
      <c r="L94" s="5"/>
      <c r="M94" s="6"/>
      <c r="N94" s="5"/>
      <c r="O94" s="5"/>
      <c r="P94" s="5"/>
      <c r="Q94" s="5"/>
      <c r="R94" s="5"/>
      <c r="S94" s="5"/>
      <c r="T94" s="5"/>
    </row>
    <row r="95" spans="1:20" ht="15.75" customHeight="1">
      <c r="A95" s="5"/>
      <c r="B95" s="5"/>
      <c r="C95" s="5"/>
      <c r="D95" s="5"/>
      <c r="E95" s="5"/>
      <c r="F95" s="5"/>
      <c r="G95" s="5"/>
      <c r="H95" s="5"/>
      <c r="I95" s="5"/>
      <c r="J95" s="6"/>
      <c r="K95" s="6"/>
      <c r="L95" s="5"/>
      <c r="M95" s="6"/>
      <c r="N95" s="5"/>
      <c r="O95" s="5"/>
      <c r="P95" s="5"/>
      <c r="Q95" s="5"/>
      <c r="R95" s="5"/>
      <c r="S95" s="5"/>
      <c r="T95" s="5"/>
    </row>
    <row r="96" spans="1:20" ht="15.75" customHeight="1">
      <c r="A96" s="5"/>
      <c r="B96" s="5"/>
      <c r="C96" s="5"/>
      <c r="D96" s="5"/>
      <c r="E96" s="5"/>
      <c r="F96" s="5"/>
      <c r="G96" s="5"/>
      <c r="H96" s="5"/>
      <c r="I96" s="5"/>
      <c r="J96" s="6"/>
      <c r="K96" s="6"/>
      <c r="L96" s="5"/>
      <c r="M96" s="6"/>
      <c r="N96" s="5"/>
      <c r="O96" s="5"/>
      <c r="P96" s="5"/>
      <c r="Q96" s="5"/>
      <c r="R96" s="5"/>
      <c r="S96" s="5"/>
      <c r="T96" s="5"/>
    </row>
    <row r="97" spans="1:20" ht="15.75" customHeight="1">
      <c r="A97" s="3"/>
      <c r="B97" s="3"/>
      <c r="C97" s="3"/>
      <c r="D97" s="3"/>
      <c r="E97" s="3"/>
      <c r="F97" s="3"/>
      <c r="G97" s="3"/>
      <c r="H97" s="3"/>
      <c r="I97" s="3"/>
      <c r="J97" s="4"/>
      <c r="K97" s="4"/>
      <c r="L97" s="3"/>
      <c r="M97" s="4"/>
      <c r="N97" s="3"/>
      <c r="O97" s="3"/>
      <c r="P97" s="3"/>
      <c r="Q97" s="3"/>
      <c r="R97" s="3"/>
      <c r="S97" s="3"/>
      <c r="T97" s="3"/>
    </row>
    <row r="98" spans="1:20" ht="15.75" customHeight="1">
      <c r="A98" s="3"/>
      <c r="B98" s="3"/>
      <c r="C98" s="3"/>
      <c r="D98" s="3"/>
      <c r="E98" s="3"/>
      <c r="F98" s="3"/>
      <c r="G98" s="3"/>
      <c r="H98" s="3"/>
      <c r="I98" s="3"/>
      <c r="J98" s="4"/>
      <c r="K98" s="4"/>
      <c r="L98" s="3"/>
      <c r="M98" s="4"/>
      <c r="N98" s="3"/>
      <c r="O98" s="3"/>
      <c r="P98" s="3"/>
      <c r="Q98" s="3"/>
      <c r="R98" s="3"/>
      <c r="S98" s="3"/>
      <c r="T98" s="3"/>
    </row>
    <row r="99" spans="1:20" ht="15.75" customHeight="1">
      <c r="A99" s="3"/>
      <c r="B99" s="3"/>
      <c r="C99" s="3"/>
      <c r="D99" s="3"/>
      <c r="E99" s="3"/>
      <c r="F99" s="3"/>
      <c r="G99" s="3"/>
      <c r="H99" s="3"/>
      <c r="I99" s="3"/>
      <c r="J99" s="4"/>
      <c r="K99" s="4"/>
      <c r="L99" s="3"/>
      <c r="M99" s="4"/>
      <c r="N99" s="3"/>
      <c r="O99" s="3"/>
      <c r="P99" s="3"/>
      <c r="Q99" s="3"/>
      <c r="R99" s="3"/>
      <c r="S99" s="3"/>
      <c r="T99" s="3"/>
    </row>
    <row r="100" spans="1:2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4"/>
      <c r="K100" s="4"/>
      <c r="L100" s="3"/>
      <c r="M100" s="4"/>
      <c r="N100" s="3"/>
      <c r="O100" s="3"/>
      <c r="P100" s="3"/>
      <c r="Q100" s="3"/>
      <c r="R100" s="3"/>
      <c r="S100" s="3"/>
      <c r="T100" s="3"/>
    </row>
    <row r="101" spans="1:20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4"/>
      <c r="K101" s="4"/>
      <c r="L101" s="3"/>
      <c r="M101" s="4"/>
      <c r="N101" s="3"/>
      <c r="O101" s="3"/>
      <c r="P101" s="3"/>
      <c r="Q101" s="3"/>
      <c r="R101" s="3"/>
      <c r="S101" s="3"/>
      <c r="T101" s="3"/>
    </row>
    <row r="102" spans="1:20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4"/>
      <c r="K102" s="4"/>
      <c r="L102" s="3"/>
      <c r="M102" s="4"/>
      <c r="N102" s="3"/>
      <c r="O102" s="3"/>
      <c r="P102" s="3"/>
      <c r="Q102" s="3"/>
      <c r="R102" s="3"/>
      <c r="S102" s="3"/>
      <c r="T102" s="3"/>
    </row>
    <row r="103" spans="1:20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4"/>
      <c r="K103" s="4"/>
      <c r="L103" s="3"/>
      <c r="M103" s="4"/>
      <c r="N103" s="3"/>
      <c r="O103" s="3"/>
      <c r="P103" s="3"/>
      <c r="Q103" s="3"/>
      <c r="R103" s="3"/>
      <c r="S103" s="3"/>
      <c r="T103" s="3"/>
    </row>
    <row r="104" spans="1:20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4"/>
      <c r="K104" s="4"/>
      <c r="L104" s="3"/>
      <c r="M104" s="4"/>
      <c r="N104" s="3"/>
      <c r="O104" s="3"/>
      <c r="P104" s="3"/>
      <c r="Q104" s="3"/>
      <c r="R104" s="3"/>
      <c r="S104" s="3"/>
      <c r="T104" s="3"/>
    </row>
    <row r="105" spans="1:20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4"/>
      <c r="K105" s="4"/>
      <c r="L105" s="3"/>
      <c r="M105" s="4"/>
      <c r="N105" s="3"/>
      <c r="O105" s="3"/>
      <c r="P105" s="3"/>
      <c r="Q105" s="3"/>
      <c r="R105" s="3"/>
      <c r="S105" s="3"/>
      <c r="T105" s="3"/>
    </row>
    <row r="106" spans="1:20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4"/>
      <c r="K106" s="4"/>
      <c r="L106" s="3"/>
      <c r="M106" s="4"/>
      <c r="N106" s="3"/>
      <c r="O106" s="3"/>
      <c r="P106" s="3"/>
      <c r="Q106" s="3"/>
      <c r="R106" s="3"/>
      <c r="S106" s="3"/>
      <c r="T106" s="3"/>
    </row>
    <row r="107" spans="1:20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4"/>
      <c r="K107" s="4"/>
      <c r="L107" s="3"/>
      <c r="M107" s="4"/>
      <c r="N107" s="3"/>
      <c r="O107" s="3"/>
      <c r="P107" s="3"/>
      <c r="Q107" s="3"/>
      <c r="R107" s="3"/>
      <c r="S107" s="3"/>
      <c r="T107" s="3"/>
    </row>
    <row r="108" spans="1:20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4"/>
      <c r="K108" s="4"/>
      <c r="L108" s="3"/>
      <c r="M108" s="4"/>
      <c r="N108" s="3"/>
      <c r="O108" s="3"/>
      <c r="P108" s="3"/>
      <c r="Q108" s="3"/>
      <c r="R108" s="3"/>
      <c r="S108" s="3"/>
      <c r="T108" s="3"/>
    </row>
    <row r="109" spans="1:20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4"/>
      <c r="K109" s="4"/>
      <c r="L109" s="3"/>
      <c r="M109" s="4"/>
      <c r="N109" s="3"/>
      <c r="O109" s="3"/>
      <c r="P109" s="3"/>
      <c r="Q109" s="3"/>
      <c r="R109" s="3"/>
      <c r="S109" s="3"/>
      <c r="T109" s="3"/>
    </row>
    <row r="110" spans="1:2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4"/>
      <c r="K110" s="4"/>
      <c r="L110" s="3"/>
      <c r="M110" s="4"/>
      <c r="N110" s="3"/>
      <c r="O110" s="3"/>
      <c r="P110" s="3"/>
      <c r="Q110" s="3"/>
      <c r="R110" s="3"/>
      <c r="S110" s="3"/>
      <c r="T110" s="3"/>
    </row>
    <row r="111" spans="1:20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4"/>
      <c r="K111" s="4"/>
      <c r="L111" s="3"/>
      <c r="M111" s="4"/>
      <c r="N111" s="3"/>
      <c r="O111" s="3"/>
      <c r="P111" s="3"/>
      <c r="Q111" s="3"/>
      <c r="R111" s="3"/>
      <c r="S111" s="3"/>
      <c r="T111" s="3"/>
    </row>
    <row r="112" spans="1:20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4"/>
      <c r="K112" s="4"/>
      <c r="L112" s="3"/>
      <c r="M112" s="4"/>
      <c r="N112" s="3"/>
      <c r="O112" s="3"/>
      <c r="P112" s="3"/>
      <c r="Q112" s="3"/>
      <c r="R112" s="3"/>
      <c r="S112" s="3"/>
      <c r="T112" s="3"/>
    </row>
    <row r="113" spans="1:20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4"/>
      <c r="K113" s="4"/>
      <c r="L113" s="3"/>
      <c r="M113" s="4"/>
      <c r="N113" s="3"/>
      <c r="O113" s="3"/>
      <c r="P113" s="3"/>
      <c r="Q113" s="3"/>
      <c r="R113" s="3"/>
      <c r="S113" s="3"/>
      <c r="T113" s="3"/>
    </row>
    <row r="114" spans="1:20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4"/>
      <c r="K114" s="4"/>
      <c r="L114" s="3"/>
      <c r="M114" s="4"/>
      <c r="N114" s="3"/>
      <c r="O114" s="3"/>
      <c r="P114" s="3"/>
      <c r="Q114" s="3"/>
      <c r="R114" s="3"/>
      <c r="S114" s="3"/>
      <c r="T114" s="3"/>
    </row>
    <row r="115" spans="1:20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4"/>
      <c r="K115" s="4"/>
      <c r="L115" s="3"/>
      <c r="M115" s="4"/>
      <c r="N115" s="3"/>
      <c r="O115" s="3"/>
      <c r="P115" s="3"/>
      <c r="Q115" s="3"/>
      <c r="R115" s="3"/>
      <c r="S115" s="3"/>
      <c r="T115" s="3"/>
    </row>
    <row r="116" spans="1:20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4"/>
      <c r="K116" s="4"/>
      <c r="L116" s="3"/>
      <c r="M116" s="4"/>
      <c r="N116" s="3"/>
      <c r="O116" s="3"/>
      <c r="P116" s="3"/>
      <c r="Q116" s="3"/>
      <c r="R116" s="3"/>
      <c r="S116" s="3"/>
      <c r="T116" s="3"/>
    </row>
    <row r="117" spans="1:20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4"/>
      <c r="K117" s="4"/>
      <c r="L117" s="3"/>
      <c r="M117" s="4"/>
      <c r="N117" s="3"/>
      <c r="O117" s="3"/>
      <c r="P117" s="3"/>
      <c r="Q117" s="3"/>
      <c r="R117" s="3"/>
      <c r="S117" s="3"/>
      <c r="T117" s="3"/>
    </row>
    <row r="118" spans="1:20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4"/>
      <c r="K118" s="4"/>
      <c r="L118" s="3"/>
      <c r="M118" s="4"/>
      <c r="N118" s="3"/>
      <c r="O118" s="3"/>
      <c r="P118" s="3"/>
      <c r="Q118" s="3"/>
      <c r="R118" s="3"/>
      <c r="S118" s="3"/>
      <c r="T118" s="3"/>
    </row>
    <row r="119" spans="1:20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3"/>
      <c r="M119" s="4"/>
      <c r="N119" s="3"/>
      <c r="O119" s="3"/>
      <c r="P119" s="3"/>
      <c r="Q119" s="3"/>
      <c r="R119" s="3"/>
      <c r="S119" s="3"/>
      <c r="T119" s="3"/>
    </row>
    <row r="120" spans="1: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4"/>
      <c r="K120" s="4"/>
      <c r="L120" s="3"/>
      <c r="M120" s="4"/>
      <c r="N120" s="3"/>
      <c r="O120" s="3"/>
      <c r="P120" s="3"/>
      <c r="Q120" s="3"/>
      <c r="R120" s="3"/>
      <c r="S120" s="3"/>
      <c r="T120" s="3"/>
    </row>
    <row r="121" spans="1:20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4"/>
      <c r="K121" s="4"/>
      <c r="L121" s="3"/>
      <c r="M121" s="4"/>
      <c r="N121" s="3"/>
      <c r="O121" s="3"/>
      <c r="P121" s="3"/>
      <c r="Q121" s="3"/>
      <c r="R121" s="3"/>
      <c r="S121" s="3"/>
      <c r="T121" s="3"/>
    </row>
    <row r="122" spans="1:20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3"/>
      <c r="M122" s="4"/>
      <c r="N122" s="3"/>
      <c r="O122" s="3"/>
      <c r="P122" s="3"/>
      <c r="Q122" s="3"/>
      <c r="R122" s="3"/>
      <c r="S122" s="3"/>
      <c r="T122" s="3"/>
    </row>
    <row r="123" spans="1:20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4"/>
      <c r="K123" s="4"/>
      <c r="L123" s="3"/>
      <c r="M123" s="4"/>
      <c r="N123" s="3"/>
      <c r="O123" s="3"/>
      <c r="P123" s="3"/>
      <c r="Q123" s="3"/>
      <c r="R123" s="3"/>
      <c r="S123" s="3"/>
      <c r="T123" s="3"/>
    </row>
    <row r="124" spans="1:20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4"/>
      <c r="K124" s="4"/>
      <c r="L124" s="3"/>
      <c r="M124" s="4"/>
      <c r="N124" s="3"/>
      <c r="O124" s="3"/>
      <c r="P124" s="3"/>
      <c r="Q124" s="3"/>
      <c r="R124" s="3"/>
      <c r="S124" s="3"/>
      <c r="T124" s="3"/>
    </row>
    <row r="125" spans="1:20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3"/>
      <c r="M125" s="4"/>
      <c r="N125" s="3"/>
      <c r="O125" s="3"/>
      <c r="P125" s="3"/>
      <c r="Q125" s="3"/>
      <c r="R125" s="3"/>
      <c r="S125" s="3"/>
      <c r="T125" s="3"/>
    </row>
    <row r="126" spans="1:20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4"/>
      <c r="K126" s="4"/>
      <c r="L126" s="3"/>
      <c r="M126" s="4"/>
      <c r="N126" s="3"/>
      <c r="O126" s="3"/>
      <c r="P126" s="3"/>
      <c r="Q126" s="3"/>
      <c r="R126" s="3"/>
      <c r="S126" s="3"/>
      <c r="T126" s="3"/>
    </row>
    <row r="127" spans="1:20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4"/>
      <c r="K127" s="4"/>
      <c r="L127" s="3"/>
      <c r="M127" s="4"/>
      <c r="N127" s="3"/>
      <c r="O127" s="3"/>
      <c r="P127" s="3"/>
      <c r="Q127" s="3"/>
      <c r="R127" s="3"/>
      <c r="S127" s="3"/>
      <c r="T127" s="3"/>
    </row>
    <row r="128" spans="1:20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4"/>
      <c r="K128" s="4"/>
      <c r="L128" s="3"/>
      <c r="M128" s="4"/>
      <c r="N128" s="3"/>
      <c r="O128" s="3"/>
      <c r="P128" s="3"/>
      <c r="Q128" s="3"/>
      <c r="R128" s="3"/>
      <c r="S128" s="3"/>
      <c r="T128" s="3"/>
    </row>
    <row r="129" spans="1:20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4"/>
      <c r="K129" s="4"/>
      <c r="L129" s="3"/>
      <c r="M129" s="4"/>
      <c r="N129" s="3"/>
      <c r="O129" s="3"/>
      <c r="P129" s="3"/>
      <c r="Q129" s="3"/>
      <c r="R129" s="3"/>
      <c r="S129" s="3"/>
      <c r="T129" s="3"/>
    </row>
    <row r="130" spans="1:2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4"/>
      <c r="K130" s="4"/>
      <c r="L130" s="3"/>
      <c r="M130" s="4"/>
      <c r="N130" s="3"/>
      <c r="O130" s="3"/>
      <c r="P130" s="3"/>
      <c r="Q130" s="3"/>
      <c r="R130" s="3"/>
      <c r="S130" s="3"/>
      <c r="T130" s="3"/>
    </row>
    <row r="131" spans="1:20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4"/>
      <c r="K131" s="4"/>
      <c r="L131" s="3"/>
      <c r="M131" s="4"/>
      <c r="N131" s="3"/>
      <c r="O131" s="3"/>
      <c r="P131" s="3"/>
      <c r="Q131" s="3"/>
      <c r="R131" s="3"/>
      <c r="S131" s="3"/>
      <c r="T131" s="3"/>
    </row>
    <row r="132" spans="1:20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4"/>
      <c r="K132" s="4"/>
      <c r="L132" s="3"/>
      <c r="M132" s="4"/>
      <c r="N132" s="3"/>
      <c r="O132" s="3"/>
      <c r="P132" s="3"/>
      <c r="Q132" s="3"/>
      <c r="R132" s="3"/>
      <c r="S132" s="3"/>
      <c r="T132" s="3"/>
    </row>
    <row r="133" spans="1:20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4"/>
      <c r="K133" s="4"/>
      <c r="L133" s="3"/>
      <c r="M133" s="4"/>
      <c r="N133" s="3"/>
      <c r="O133" s="3"/>
      <c r="P133" s="3"/>
      <c r="Q133" s="3"/>
      <c r="R133" s="3"/>
      <c r="S133" s="3"/>
      <c r="T133" s="3"/>
    </row>
    <row r="134" spans="1:20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4"/>
      <c r="K134" s="4"/>
      <c r="L134" s="3"/>
      <c r="M134" s="4"/>
      <c r="N134" s="3"/>
      <c r="O134" s="3"/>
      <c r="P134" s="3"/>
      <c r="Q134" s="3"/>
      <c r="R134" s="3"/>
      <c r="S134" s="3"/>
      <c r="T134" s="3"/>
    </row>
    <row r="135" spans="1:20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4"/>
      <c r="K135" s="4"/>
      <c r="L135" s="3"/>
      <c r="M135" s="4"/>
      <c r="N135" s="3"/>
      <c r="O135" s="3"/>
      <c r="P135" s="3"/>
      <c r="Q135" s="3"/>
      <c r="R135" s="3"/>
      <c r="S135" s="3"/>
      <c r="T135" s="3"/>
    </row>
    <row r="136" spans="1:20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4"/>
      <c r="K136" s="4"/>
      <c r="L136" s="3"/>
      <c r="M136" s="4"/>
      <c r="N136" s="3"/>
      <c r="O136" s="3"/>
      <c r="P136" s="3"/>
      <c r="Q136" s="3"/>
      <c r="R136" s="3"/>
      <c r="S136" s="3"/>
      <c r="T136" s="3"/>
    </row>
    <row r="137" spans="1:20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4"/>
      <c r="K137" s="4"/>
      <c r="L137" s="3"/>
      <c r="M137" s="4"/>
      <c r="N137" s="3"/>
      <c r="O137" s="3"/>
      <c r="P137" s="3"/>
      <c r="Q137" s="3"/>
      <c r="R137" s="3"/>
      <c r="S137" s="3"/>
      <c r="T137" s="3"/>
    </row>
    <row r="138" spans="1:20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4"/>
      <c r="K138" s="4"/>
      <c r="L138" s="3"/>
      <c r="M138" s="4"/>
      <c r="N138" s="3"/>
      <c r="O138" s="3"/>
      <c r="P138" s="3"/>
      <c r="Q138" s="3"/>
      <c r="R138" s="3"/>
      <c r="S138" s="3"/>
      <c r="T138" s="3"/>
    </row>
    <row r="139" spans="1:20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4"/>
      <c r="K139" s="4"/>
      <c r="L139" s="3"/>
      <c r="M139" s="4"/>
      <c r="N139" s="3"/>
      <c r="O139" s="3"/>
      <c r="P139" s="3"/>
      <c r="Q139" s="3"/>
      <c r="R139" s="3"/>
      <c r="S139" s="3"/>
      <c r="T139" s="3"/>
    </row>
    <row r="140" spans="1:2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4"/>
      <c r="K140" s="4"/>
      <c r="L140" s="3"/>
      <c r="M140" s="4"/>
      <c r="N140" s="3"/>
      <c r="O140" s="3"/>
      <c r="P140" s="3"/>
      <c r="Q140" s="3"/>
      <c r="R140" s="3"/>
      <c r="S140" s="3"/>
      <c r="T140" s="3"/>
    </row>
    <row r="141" spans="1:20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4"/>
      <c r="K141" s="4"/>
      <c r="L141" s="3"/>
      <c r="M141" s="4"/>
      <c r="N141" s="3"/>
      <c r="O141" s="3"/>
      <c r="P141" s="3"/>
      <c r="Q141" s="3"/>
      <c r="R141" s="3"/>
      <c r="S141" s="3"/>
      <c r="T141" s="3"/>
    </row>
    <row r="142" spans="1:20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4"/>
      <c r="K142" s="4"/>
      <c r="L142" s="3"/>
      <c r="M142" s="4"/>
      <c r="N142" s="3"/>
      <c r="O142" s="3"/>
      <c r="P142" s="3"/>
      <c r="Q142" s="3"/>
      <c r="R142" s="3"/>
      <c r="S142" s="3"/>
      <c r="T142" s="3"/>
    </row>
    <row r="143" spans="1:20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4"/>
      <c r="K143" s="4"/>
      <c r="L143" s="3"/>
      <c r="M143" s="4"/>
      <c r="N143" s="3"/>
      <c r="O143" s="3"/>
      <c r="P143" s="3"/>
      <c r="Q143" s="3"/>
      <c r="R143" s="3"/>
      <c r="S143" s="3"/>
      <c r="T143" s="3"/>
    </row>
    <row r="144" spans="1:20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4"/>
      <c r="K144" s="4"/>
      <c r="L144" s="3"/>
      <c r="M144" s="4"/>
      <c r="N144" s="3"/>
      <c r="O144" s="3"/>
      <c r="P144" s="3"/>
      <c r="Q144" s="3"/>
      <c r="R144" s="3"/>
      <c r="S144" s="3"/>
      <c r="T144" s="3"/>
    </row>
    <row r="145" spans="1:20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4"/>
      <c r="K145" s="4"/>
      <c r="L145" s="3"/>
      <c r="M145" s="4"/>
      <c r="N145" s="3"/>
      <c r="O145" s="3"/>
      <c r="P145" s="3"/>
      <c r="Q145" s="3"/>
      <c r="R145" s="3"/>
      <c r="S145" s="3"/>
      <c r="T145" s="3"/>
    </row>
    <row r="146" spans="1:20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4"/>
      <c r="K146" s="4"/>
      <c r="L146" s="3"/>
      <c r="M146" s="4"/>
      <c r="N146" s="3"/>
      <c r="O146" s="3"/>
      <c r="P146" s="3"/>
      <c r="Q146" s="3"/>
      <c r="R146" s="3"/>
      <c r="S146" s="3"/>
      <c r="T146" s="3"/>
    </row>
    <row r="147" spans="1:20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4"/>
      <c r="K147" s="4"/>
      <c r="L147" s="3"/>
      <c r="M147" s="4"/>
      <c r="N147" s="3"/>
      <c r="O147" s="3"/>
      <c r="P147" s="3"/>
      <c r="Q147" s="3"/>
      <c r="R147" s="3"/>
      <c r="S147" s="3"/>
      <c r="T147" s="3"/>
    </row>
    <row r="148" spans="1:20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4"/>
      <c r="K148" s="4"/>
      <c r="L148" s="3"/>
      <c r="M148" s="4"/>
      <c r="N148" s="3"/>
      <c r="O148" s="3"/>
      <c r="P148" s="3"/>
      <c r="Q148" s="3"/>
      <c r="R148" s="3"/>
      <c r="S148" s="3"/>
      <c r="T148" s="3"/>
    </row>
    <row r="149" spans="1:20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4"/>
      <c r="K149" s="4"/>
      <c r="L149" s="3"/>
      <c r="M149" s="4"/>
      <c r="N149" s="3"/>
      <c r="O149" s="3"/>
      <c r="P149" s="3"/>
      <c r="Q149" s="3"/>
      <c r="R149" s="3"/>
      <c r="S149" s="3"/>
      <c r="T149" s="3"/>
    </row>
    <row r="150" spans="1:2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4"/>
      <c r="K150" s="4"/>
      <c r="L150" s="3"/>
      <c r="M150" s="4"/>
      <c r="N150" s="3"/>
      <c r="O150" s="3"/>
      <c r="P150" s="3"/>
      <c r="Q150" s="3"/>
      <c r="R150" s="3"/>
      <c r="S150" s="3"/>
      <c r="T150" s="3"/>
    </row>
    <row r="151" spans="1:20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4"/>
      <c r="K151" s="4"/>
      <c r="L151" s="3"/>
      <c r="M151" s="4"/>
      <c r="N151" s="3"/>
      <c r="O151" s="3"/>
      <c r="P151" s="3"/>
      <c r="Q151" s="3"/>
      <c r="R151" s="3"/>
      <c r="S151" s="3"/>
      <c r="T151" s="3"/>
    </row>
    <row r="152" spans="1:20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4"/>
      <c r="K152" s="4"/>
      <c r="L152" s="3"/>
      <c r="M152" s="4"/>
      <c r="N152" s="3"/>
      <c r="O152" s="3"/>
      <c r="P152" s="3"/>
      <c r="Q152" s="3"/>
      <c r="R152" s="3"/>
      <c r="S152" s="3"/>
      <c r="T152" s="3"/>
    </row>
    <row r="153" spans="1:20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4"/>
      <c r="K153" s="4"/>
      <c r="L153" s="3"/>
      <c r="M153" s="4"/>
      <c r="N153" s="3"/>
      <c r="O153" s="3"/>
      <c r="P153" s="3"/>
      <c r="Q153" s="3"/>
      <c r="R153" s="3"/>
      <c r="S153" s="3"/>
      <c r="T153" s="3"/>
    </row>
    <row r="154" spans="1:20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4"/>
      <c r="K154" s="4"/>
      <c r="L154" s="3"/>
      <c r="M154" s="4"/>
      <c r="N154" s="3"/>
      <c r="O154" s="3"/>
      <c r="P154" s="3"/>
      <c r="Q154" s="3"/>
      <c r="R154" s="3"/>
      <c r="S154" s="3"/>
      <c r="T154" s="3"/>
    </row>
    <row r="155" spans="1:20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4"/>
      <c r="K155" s="4"/>
      <c r="L155" s="3"/>
      <c r="M155" s="4"/>
      <c r="N155" s="3"/>
      <c r="O155" s="3"/>
      <c r="P155" s="3"/>
      <c r="Q155" s="3"/>
      <c r="R155" s="3"/>
      <c r="S155" s="3"/>
      <c r="T155" s="3"/>
    </row>
    <row r="156" spans="1:20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4"/>
      <c r="K156" s="4"/>
      <c r="L156" s="3"/>
      <c r="M156" s="4"/>
      <c r="N156" s="3"/>
      <c r="O156" s="3"/>
      <c r="P156" s="3"/>
      <c r="Q156" s="3"/>
      <c r="R156" s="3"/>
      <c r="S156" s="3"/>
      <c r="T156" s="3"/>
    </row>
    <row r="157" spans="1:20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4"/>
      <c r="K157" s="4"/>
      <c r="L157" s="3"/>
      <c r="M157" s="4"/>
      <c r="N157" s="3"/>
      <c r="O157" s="3"/>
      <c r="P157" s="3"/>
      <c r="Q157" s="3"/>
      <c r="R157" s="3"/>
      <c r="S157" s="3"/>
      <c r="T157" s="3"/>
    </row>
    <row r="158" spans="1:20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4"/>
      <c r="K158" s="4"/>
      <c r="L158" s="3"/>
      <c r="M158" s="4"/>
      <c r="N158" s="3"/>
      <c r="O158" s="3"/>
      <c r="P158" s="3"/>
      <c r="Q158" s="3"/>
      <c r="R158" s="3"/>
      <c r="S158" s="3"/>
      <c r="T158" s="3"/>
    </row>
    <row r="159" spans="1:20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4"/>
      <c r="K159" s="4"/>
      <c r="L159" s="3"/>
      <c r="M159" s="4"/>
      <c r="N159" s="3"/>
      <c r="O159" s="3"/>
      <c r="P159" s="3"/>
      <c r="Q159" s="3"/>
      <c r="R159" s="3"/>
      <c r="S159" s="3"/>
      <c r="T159" s="3"/>
    </row>
    <row r="160" spans="1:2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4"/>
      <c r="K160" s="4"/>
      <c r="L160" s="3"/>
      <c r="M160" s="4"/>
      <c r="N160" s="3"/>
      <c r="O160" s="3"/>
      <c r="P160" s="3"/>
      <c r="Q160" s="3"/>
      <c r="R160" s="3"/>
      <c r="S160" s="3"/>
      <c r="T160" s="3"/>
    </row>
    <row r="161" spans="1:20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4"/>
      <c r="K161" s="4"/>
      <c r="L161" s="3"/>
      <c r="M161" s="4"/>
      <c r="N161" s="3"/>
      <c r="O161" s="3"/>
      <c r="P161" s="3"/>
      <c r="Q161" s="3"/>
      <c r="R161" s="3"/>
      <c r="S161" s="3"/>
      <c r="T161" s="3"/>
    </row>
    <row r="162" spans="1:20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4"/>
      <c r="K162" s="4"/>
      <c r="L162" s="3"/>
      <c r="M162" s="4"/>
      <c r="N162" s="3"/>
      <c r="O162" s="3"/>
      <c r="P162" s="3"/>
      <c r="Q162" s="3"/>
      <c r="R162" s="3"/>
      <c r="S162" s="3"/>
      <c r="T162" s="3"/>
    </row>
    <row r="163" spans="1:20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4"/>
      <c r="K163" s="4"/>
      <c r="L163" s="3"/>
      <c r="M163" s="4"/>
      <c r="N163" s="3"/>
      <c r="O163" s="3"/>
      <c r="P163" s="3"/>
      <c r="Q163" s="3"/>
      <c r="R163" s="3"/>
      <c r="S163" s="3"/>
      <c r="T163" s="3"/>
    </row>
    <row r="164" spans="1:20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4"/>
      <c r="K164" s="4"/>
      <c r="L164" s="3"/>
      <c r="M164" s="4"/>
      <c r="N164" s="3"/>
      <c r="O164" s="3"/>
      <c r="P164" s="3"/>
      <c r="Q164" s="3"/>
      <c r="R164" s="3"/>
      <c r="S164" s="3"/>
      <c r="T164" s="3"/>
    </row>
    <row r="165" spans="1:20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4"/>
      <c r="K165" s="4"/>
      <c r="L165" s="3"/>
      <c r="M165" s="4"/>
      <c r="N165" s="3"/>
      <c r="O165" s="3"/>
      <c r="P165" s="3"/>
      <c r="Q165" s="3"/>
      <c r="R165" s="3"/>
      <c r="S165" s="3"/>
      <c r="T165" s="3"/>
    </row>
    <row r="166" spans="1:20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4"/>
      <c r="K166" s="4"/>
      <c r="L166" s="3"/>
      <c r="M166" s="4"/>
      <c r="N166" s="3"/>
      <c r="O166" s="3"/>
      <c r="P166" s="3"/>
      <c r="Q166" s="3"/>
      <c r="R166" s="3"/>
      <c r="S166" s="3"/>
      <c r="T166" s="3"/>
    </row>
    <row r="167" spans="1:20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4"/>
      <c r="K167" s="4"/>
      <c r="L167" s="3"/>
      <c r="M167" s="4"/>
      <c r="N167" s="3"/>
      <c r="O167" s="3"/>
      <c r="P167" s="3"/>
      <c r="Q167" s="3"/>
      <c r="R167" s="3"/>
      <c r="S167" s="3"/>
      <c r="T167" s="3"/>
    </row>
    <row r="168" spans="1:20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4"/>
      <c r="K168" s="4"/>
      <c r="L168" s="3"/>
      <c r="M168" s="4"/>
      <c r="N168" s="3"/>
      <c r="O168" s="3"/>
      <c r="P168" s="3"/>
      <c r="Q168" s="3"/>
      <c r="R168" s="3"/>
      <c r="S168" s="3"/>
      <c r="T168" s="3"/>
    </row>
    <row r="169" spans="1:20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4"/>
      <c r="K169" s="4"/>
      <c r="L169" s="3"/>
      <c r="M169" s="4"/>
      <c r="N169" s="3"/>
      <c r="O169" s="3"/>
      <c r="P169" s="3"/>
      <c r="Q169" s="3"/>
      <c r="R169" s="3"/>
      <c r="S169" s="3"/>
      <c r="T169" s="3"/>
    </row>
    <row r="170" spans="1:2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4"/>
      <c r="K170" s="4"/>
      <c r="L170" s="3"/>
      <c r="M170" s="4"/>
      <c r="N170" s="3"/>
      <c r="O170" s="3"/>
      <c r="P170" s="3"/>
      <c r="Q170" s="3"/>
      <c r="R170" s="3"/>
      <c r="S170" s="3"/>
      <c r="T170" s="3"/>
    </row>
    <row r="171" spans="1:20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4"/>
      <c r="K171" s="4"/>
      <c r="L171" s="3"/>
      <c r="M171" s="4"/>
      <c r="N171" s="3"/>
      <c r="O171" s="3"/>
      <c r="P171" s="3"/>
      <c r="Q171" s="3"/>
      <c r="R171" s="3"/>
      <c r="S171" s="3"/>
      <c r="T171" s="3"/>
    </row>
    <row r="172" spans="1:20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4"/>
      <c r="K172" s="4"/>
      <c r="L172" s="3"/>
      <c r="M172" s="4"/>
      <c r="N172" s="3"/>
      <c r="O172" s="3"/>
      <c r="P172" s="3"/>
      <c r="Q172" s="3"/>
      <c r="R172" s="3"/>
      <c r="S172" s="3"/>
      <c r="T172" s="3"/>
    </row>
    <row r="173" spans="1:20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4"/>
      <c r="K173" s="4"/>
      <c r="L173" s="3"/>
      <c r="M173" s="4"/>
      <c r="N173" s="3"/>
      <c r="O173" s="3"/>
      <c r="P173" s="3"/>
      <c r="Q173" s="3"/>
      <c r="R173" s="3"/>
      <c r="S173" s="3"/>
      <c r="T173" s="3"/>
    </row>
    <row r="174" spans="1:20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4"/>
      <c r="K174" s="4"/>
      <c r="L174" s="3"/>
      <c r="M174" s="4"/>
      <c r="N174" s="3"/>
      <c r="O174" s="3"/>
      <c r="P174" s="3"/>
      <c r="Q174" s="3"/>
      <c r="R174" s="3"/>
      <c r="S174" s="3"/>
      <c r="T174" s="3"/>
    </row>
    <row r="175" spans="1:20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4"/>
      <c r="K175" s="4"/>
      <c r="L175" s="3"/>
      <c r="M175" s="4"/>
      <c r="N175" s="3"/>
      <c r="O175" s="3"/>
      <c r="P175" s="3"/>
      <c r="Q175" s="3"/>
      <c r="R175" s="3"/>
      <c r="S175" s="3"/>
      <c r="T175" s="3"/>
    </row>
    <row r="176" spans="1:20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4"/>
      <c r="K176" s="4"/>
      <c r="L176" s="3"/>
      <c r="M176" s="4"/>
      <c r="N176" s="3"/>
      <c r="O176" s="3"/>
      <c r="P176" s="3"/>
      <c r="Q176" s="3"/>
      <c r="R176" s="3"/>
      <c r="S176" s="3"/>
      <c r="T176" s="3"/>
    </row>
    <row r="177" spans="1:20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4"/>
      <c r="K177" s="4"/>
      <c r="L177" s="3"/>
      <c r="M177" s="4"/>
      <c r="N177" s="3"/>
      <c r="O177" s="3"/>
      <c r="P177" s="3"/>
      <c r="Q177" s="3"/>
      <c r="R177" s="3"/>
      <c r="S177" s="3"/>
      <c r="T177" s="3"/>
    </row>
    <row r="178" spans="1:20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4"/>
      <c r="K178" s="4"/>
      <c r="L178" s="3"/>
      <c r="M178" s="4"/>
      <c r="N178" s="3"/>
      <c r="O178" s="3"/>
      <c r="P178" s="3"/>
      <c r="Q178" s="3"/>
      <c r="R178" s="3"/>
      <c r="S178" s="3"/>
      <c r="T178" s="3"/>
    </row>
    <row r="179" spans="1:20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4"/>
      <c r="K179" s="4"/>
      <c r="L179" s="3"/>
      <c r="M179" s="4"/>
      <c r="N179" s="3"/>
      <c r="O179" s="3"/>
      <c r="P179" s="3"/>
      <c r="Q179" s="3"/>
      <c r="R179" s="3"/>
      <c r="S179" s="3"/>
      <c r="T179" s="3"/>
    </row>
    <row r="180" spans="1:2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4"/>
      <c r="K180" s="4"/>
      <c r="L180" s="3"/>
      <c r="M180" s="4"/>
      <c r="N180" s="3"/>
      <c r="O180" s="3"/>
      <c r="P180" s="3"/>
      <c r="Q180" s="3"/>
      <c r="R180" s="3"/>
      <c r="S180" s="3"/>
      <c r="T180" s="3"/>
    </row>
    <row r="181" spans="1:20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4"/>
      <c r="K181" s="4"/>
      <c r="L181" s="3"/>
      <c r="M181" s="4"/>
      <c r="N181" s="3"/>
      <c r="O181" s="3"/>
      <c r="P181" s="3"/>
      <c r="Q181" s="3"/>
      <c r="R181" s="3"/>
      <c r="S181" s="3"/>
      <c r="T181" s="3"/>
    </row>
    <row r="182" spans="1:20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4"/>
      <c r="K182" s="4"/>
      <c r="L182" s="3"/>
      <c r="M182" s="4"/>
      <c r="N182" s="3"/>
      <c r="O182" s="3"/>
      <c r="P182" s="3"/>
      <c r="Q182" s="3"/>
      <c r="R182" s="3"/>
      <c r="S182" s="3"/>
      <c r="T182" s="3"/>
    </row>
    <row r="183" spans="1:20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4"/>
      <c r="K183" s="4"/>
      <c r="L183" s="3"/>
      <c r="M183" s="4"/>
      <c r="N183" s="3"/>
      <c r="O183" s="3"/>
      <c r="P183" s="3"/>
      <c r="Q183" s="3"/>
      <c r="R183" s="3"/>
      <c r="S183" s="3"/>
      <c r="T183" s="3"/>
    </row>
    <row r="184" spans="1:20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4"/>
      <c r="K184" s="4"/>
      <c r="L184" s="3"/>
      <c r="M184" s="4"/>
      <c r="N184" s="3"/>
      <c r="O184" s="3"/>
      <c r="P184" s="3"/>
      <c r="Q184" s="3"/>
      <c r="R184" s="3"/>
      <c r="S184" s="3"/>
      <c r="T184" s="3"/>
    </row>
    <row r="185" spans="1:20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4"/>
      <c r="K185" s="4"/>
      <c r="L185" s="3"/>
      <c r="M185" s="4"/>
      <c r="N185" s="3"/>
      <c r="O185" s="3"/>
      <c r="P185" s="3"/>
      <c r="Q185" s="3"/>
      <c r="R185" s="3"/>
      <c r="S185" s="3"/>
      <c r="T185" s="3"/>
    </row>
    <row r="186" spans="1:20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4"/>
      <c r="K186" s="4"/>
      <c r="L186" s="3"/>
      <c r="M186" s="4"/>
      <c r="N186" s="3"/>
      <c r="O186" s="3"/>
      <c r="P186" s="3"/>
      <c r="Q186" s="3"/>
      <c r="R186" s="3"/>
      <c r="S186" s="3"/>
      <c r="T186" s="3"/>
    </row>
    <row r="187" spans="1:20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4"/>
      <c r="K187" s="4"/>
      <c r="L187" s="3"/>
      <c r="M187" s="4"/>
      <c r="N187" s="3"/>
      <c r="O187" s="3"/>
      <c r="P187" s="3"/>
      <c r="Q187" s="3"/>
      <c r="R187" s="3"/>
      <c r="S187" s="3"/>
      <c r="T187" s="3"/>
    </row>
    <row r="188" spans="1:20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4"/>
      <c r="K188" s="4"/>
      <c r="L188" s="3"/>
      <c r="M188" s="4"/>
      <c r="N188" s="3"/>
      <c r="O188" s="3"/>
      <c r="P188" s="3"/>
      <c r="Q188" s="3"/>
      <c r="R188" s="3"/>
      <c r="S188" s="3"/>
      <c r="T188" s="3"/>
    </row>
    <row r="189" spans="1:20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4"/>
      <c r="K189" s="4"/>
      <c r="L189" s="3"/>
      <c r="M189" s="4"/>
      <c r="N189" s="3"/>
      <c r="O189" s="3"/>
      <c r="P189" s="3"/>
      <c r="Q189" s="3"/>
      <c r="R189" s="3"/>
      <c r="S189" s="3"/>
      <c r="T189" s="3"/>
    </row>
    <row r="190" spans="1:2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4"/>
      <c r="K190" s="4"/>
      <c r="L190" s="3"/>
      <c r="M190" s="4"/>
      <c r="N190" s="3"/>
      <c r="O190" s="3"/>
      <c r="P190" s="3"/>
      <c r="Q190" s="3"/>
      <c r="R190" s="3"/>
      <c r="S190" s="3"/>
      <c r="T190" s="3"/>
    </row>
    <row r="191" spans="1:20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4"/>
      <c r="K191" s="4"/>
      <c r="L191" s="3"/>
      <c r="M191" s="4"/>
      <c r="N191" s="3"/>
      <c r="O191" s="3"/>
      <c r="P191" s="3"/>
      <c r="Q191" s="3"/>
      <c r="R191" s="3"/>
      <c r="S191" s="3"/>
      <c r="T191" s="3"/>
    </row>
    <row r="192" spans="1:20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4"/>
      <c r="K192" s="4"/>
      <c r="L192" s="3"/>
      <c r="M192" s="4"/>
      <c r="N192" s="3"/>
      <c r="O192" s="3"/>
      <c r="P192" s="3"/>
      <c r="Q192" s="3"/>
      <c r="R192" s="3"/>
      <c r="S192" s="3"/>
      <c r="T192" s="3"/>
    </row>
    <row r="193" spans="1:20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4"/>
      <c r="K193" s="4"/>
      <c r="L193" s="3"/>
      <c r="M193" s="4"/>
      <c r="N193" s="3"/>
      <c r="O193" s="3"/>
      <c r="P193" s="3"/>
      <c r="Q193" s="3"/>
      <c r="R193" s="3"/>
      <c r="S193" s="3"/>
      <c r="T193" s="3"/>
    </row>
    <row r="194" spans="1:20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4"/>
      <c r="K194" s="4"/>
      <c r="L194" s="3"/>
      <c r="M194" s="4"/>
      <c r="N194" s="3"/>
      <c r="O194" s="3"/>
      <c r="P194" s="3"/>
      <c r="Q194" s="3"/>
      <c r="R194" s="3"/>
      <c r="S194" s="3"/>
      <c r="T194" s="3"/>
    </row>
    <row r="195" spans="1:20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4"/>
      <c r="K195" s="4"/>
      <c r="L195" s="3"/>
      <c r="M195" s="4"/>
      <c r="N195" s="3"/>
      <c r="O195" s="3"/>
      <c r="P195" s="3"/>
      <c r="Q195" s="3"/>
      <c r="R195" s="3"/>
      <c r="S195" s="3"/>
      <c r="T195" s="3"/>
    </row>
    <row r="196" spans="1:20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4"/>
      <c r="K196" s="4"/>
      <c r="L196" s="3"/>
      <c r="M196" s="4"/>
      <c r="N196" s="3"/>
      <c r="O196" s="3"/>
      <c r="P196" s="3"/>
      <c r="Q196" s="3"/>
      <c r="R196" s="3"/>
      <c r="S196" s="3"/>
      <c r="T196" s="3"/>
    </row>
    <row r="197" spans="1:20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4"/>
      <c r="K197" s="4"/>
      <c r="L197" s="3"/>
      <c r="M197" s="4"/>
      <c r="N197" s="3"/>
      <c r="O197" s="3"/>
      <c r="P197" s="3"/>
      <c r="Q197" s="3"/>
      <c r="R197" s="3"/>
      <c r="S197" s="3"/>
      <c r="T197" s="3"/>
    </row>
    <row r="198" spans="1:20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4"/>
      <c r="K198" s="4"/>
      <c r="L198" s="3"/>
      <c r="M198" s="4"/>
      <c r="N198" s="3"/>
      <c r="O198" s="3"/>
      <c r="P198" s="3"/>
      <c r="Q198" s="3"/>
      <c r="R198" s="3"/>
      <c r="S198" s="3"/>
      <c r="T198" s="3"/>
    </row>
    <row r="199" spans="1:20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4"/>
      <c r="K199" s="4"/>
      <c r="L199" s="3"/>
      <c r="M199" s="4"/>
      <c r="N199" s="3"/>
      <c r="O199" s="3"/>
      <c r="P199" s="3"/>
      <c r="Q199" s="3"/>
      <c r="R199" s="3"/>
      <c r="S199" s="3"/>
      <c r="T199" s="3"/>
    </row>
    <row r="200" spans="1:2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4"/>
      <c r="K200" s="4"/>
      <c r="L200" s="3"/>
      <c r="M200" s="4"/>
      <c r="N200" s="3"/>
      <c r="O200" s="3"/>
      <c r="P200" s="3"/>
      <c r="Q200" s="3"/>
      <c r="R200" s="3"/>
      <c r="S200" s="3"/>
      <c r="T200" s="3"/>
    </row>
    <row r="201" spans="1:20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4"/>
      <c r="K201" s="4"/>
      <c r="L201" s="3"/>
      <c r="M201" s="4"/>
      <c r="N201" s="3"/>
      <c r="O201" s="3"/>
      <c r="P201" s="3"/>
      <c r="Q201" s="3"/>
      <c r="R201" s="3"/>
      <c r="S201" s="3"/>
      <c r="T201" s="3"/>
    </row>
    <row r="202" spans="1:20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4"/>
      <c r="K202" s="4"/>
      <c r="L202" s="3"/>
      <c r="M202" s="4"/>
      <c r="N202" s="3"/>
      <c r="O202" s="3"/>
      <c r="P202" s="3"/>
      <c r="Q202" s="3"/>
      <c r="R202" s="3"/>
      <c r="S202" s="3"/>
      <c r="T202" s="3"/>
    </row>
    <row r="203" spans="1:20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4"/>
      <c r="K203" s="4"/>
      <c r="L203" s="3"/>
      <c r="M203" s="4"/>
      <c r="N203" s="3"/>
      <c r="O203" s="3"/>
      <c r="P203" s="3"/>
      <c r="Q203" s="3"/>
      <c r="R203" s="3"/>
      <c r="S203" s="3"/>
      <c r="T203" s="3"/>
    </row>
    <row r="204" spans="1:20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4"/>
      <c r="K204" s="4"/>
      <c r="L204" s="3"/>
      <c r="M204" s="4"/>
      <c r="N204" s="3"/>
      <c r="O204" s="3"/>
      <c r="P204" s="3"/>
      <c r="Q204" s="3"/>
      <c r="R204" s="3"/>
      <c r="S204" s="3"/>
      <c r="T204" s="3"/>
    </row>
    <row r="205" spans="1:20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4"/>
      <c r="K205" s="4"/>
      <c r="L205" s="3"/>
      <c r="M205" s="4"/>
      <c r="N205" s="3"/>
      <c r="O205" s="3"/>
      <c r="P205" s="3"/>
      <c r="Q205" s="3"/>
      <c r="R205" s="3"/>
      <c r="S205" s="3"/>
      <c r="T205" s="3"/>
    </row>
    <row r="206" spans="1:20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4"/>
      <c r="K206" s="4"/>
      <c r="L206" s="3"/>
      <c r="M206" s="4"/>
      <c r="N206" s="3"/>
      <c r="O206" s="3"/>
      <c r="P206" s="3"/>
      <c r="Q206" s="3"/>
      <c r="R206" s="3"/>
      <c r="S206" s="3"/>
      <c r="T206" s="3"/>
    </row>
    <row r="207" spans="1:20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4"/>
      <c r="K207" s="4"/>
      <c r="L207" s="3"/>
      <c r="M207" s="4"/>
      <c r="N207" s="3"/>
      <c r="O207" s="3"/>
      <c r="P207" s="3"/>
      <c r="Q207" s="3"/>
      <c r="R207" s="3"/>
      <c r="S207" s="3"/>
      <c r="T207" s="3"/>
    </row>
    <row r="208" spans="1:20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4"/>
      <c r="K208" s="4"/>
      <c r="L208" s="3"/>
      <c r="M208" s="4"/>
      <c r="N208" s="3"/>
      <c r="O208" s="3"/>
      <c r="P208" s="3"/>
      <c r="Q208" s="3"/>
      <c r="R208" s="3"/>
      <c r="S208" s="3"/>
      <c r="T208" s="3"/>
    </row>
    <row r="209" spans="1:20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4"/>
      <c r="K209" s="4"/>
      <c r="L209" s="3"/>
      <c r="M209" s="4"/>
      <c r="N209" s="3"/>
      <c r="O209" s="3"/>
      <c r="P209" s="3"/>
      <c r="Q209" s="3"/>
      <c r="R209" s="3"/>
      <c r="S209" s="3"/>
      <c r="T209" s="3"/>
    </row>
    <row r="210" spans="1:2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4"/>
      <c r="K210" s="4"/>
      <c r="L210" s="3"/>
      <c r="M210" s="4"/>
      <c r="N210" s="3"/>
      <c r="O210" s="3"/>
      <c r="P210" s="3"/>
      <c r="Q210" s="3"/>
      <c r="R210" s="3"/>
      <c r="S210" s="3"/>
      <c r="T210" s="3"/>
    </row>
    <row r="211" spans="1:20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4"/>
      <c r="K211" s="4"/>
      <c r="L211" s="3"/>
      <c r="M211" s="4"/>
      <c r="N211" s="3"/>
      <c r="O211" s="3"/>
      <c r="P211" s="3"/>
      <c r="Q211" s="3"/>
      <c r="R211" s="3"/>
      <c r="S211" s="3"/>
      <c r="T211" s="3"/>
    </row>
    <row r="212" spans="1:20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4"/>
      <c r="K212" s="4"/>
      <c r="L212" s="3"/>
      <c r="M212" s="4"/>
      <c r="N212" s="3"/>
      <c r="O212" s="3"/>
      <c r="P212" s="3"/>
      <c r="Q212" s="3"/>
      <c r="R212" s="3"/>
      <c r="S212" s="3"/>
      <c r="T212" s="3"/>
    </row>
    <row r="213" spans="1:20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4"/>
      <c r="K213" s="4"/>
      <c r="L213" s="3"/>
      <c r="M213" s="4"/>
      <c r="N213" s="3"/>
      <c r="O213" s="3"/>
      <c r="P213" s="3"/>
      <c r="Q213" s="3"/>
      <c r="R213" s="3"/>
      <c r="S213" s="3"/>
      <c r="T213" s="3"/>
    </row>
    <row r="214" spans="1:20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4"/>
      <c r="K214" s="4"/>
      <c r="L214" s="3"/>
      <c r="M214" s="4"/>
      <c r="N214" s="3"/>
      <c r="O214" s="3"/>
      <c r="P214" s="3"/>
      <c r="Q214" s="3"/>
      <c r="R214" s="3"/>
      <c r="S214" s="3"/>
      <c r="T214" s="3"/>
    </row>
    <row r="215" spans="1:20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4"/>
      <c r="K215" s="4"/>
      <c r="L215" s="3"/>
      <c r="M215" s="4"/>
      <c r="N215" s="3"/>
      <c r="O215" s="3"/>
      <c r="P215" s="3"/>
      <c r="Q215" s="3"/>
      <c r="R215" s="3"/>
      <c r="S215" s="3"/>
      <c r="T215" s="3"/>
    </row>
    <row r="216" spans="1:20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4"/>
      <c r="K216" s="4"/>
      <c r="L216" s="3"/>
      <c r="M216" s="4"/>
      <c r="N216" s="3"/>
      <c r="O216" s="3"/>
      <c r="P216" s="3"/>
      <c r="Q216" s="3"/>
      <c r="R216" s="3"/>
      <c r="S216" s="3"/>
      <c r="T216" s="3"/>
    </row>
    <row r="217" spans="1:20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4"/>
      <c r="K217" s="4"/>
      <c r="L217" s="3"/>
      <c r="M217" s="4"/>
      <c r="N217" s="3"/>
      <c r="O217" s="3"/>
      <c r="P217" s="3"/>
      <c r="Q217" s="3"/>
      <c r="R217" s="3"/>
      <c r="S217" s="3"/>
      <c r="T217" s="3"/>
    </row>
    <row r="218" spans="1:20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4"/>
      <c r="K218" s="4"/>
      <c r="L218" s="3"/>
      <c r="M218" s="4"/>
      <c r="N218" s="3"/>
      <c r="O218" s="3"/>
      <c r="P218" s="3"/>
      <c r="Q218" s="3"/>
      <c r="R218" s="3"/>
      <c r="S218" s="3"/>
      <c r="T218" s="3"/>
    </row>
    <row r="219" spans="1:20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4"/>
      <c r="K219" s="4"/>
      <c r="L219" s="3"/>
      <c r="M219" s="4"/>
      <c r="N219" s="3"/>
      <c r="O219" s="3"/>
      <c r="P219" s="3"/>
      <c r="Q219" s="3"/>
      <c r="R219" s="3"/>
      <c r="S219" s="3"/>
      <c r="T219" s="3"/>
    </row>
    <row r="220" spans="1: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4"/>
      <c r="K220" s="4"/>
      <c r="L220" s="3"/>
      <c r="M220" s="4"/>
      <c r="N220" s="3"/>
      <c r="O220" s="3"/>
      <c r="P220" s="3"/>
      <c r="Q220" s="3"/>
      <c r="R220" s="3"/>
      <c r="S220" s="3"/>
      <c r="T220" s="3"/>
    </row>
    <row r="221" spans="1:20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4"/>
      <c r="K221" s="4"/>
      <c r="L221" s="3"/>
      <c r="M221" s="4"/>
      <c r="N221" s="3"/>
      <c r="O221" s="3"/>
      <c r="P221" s="3"/>
      <c r="Q221" s="3"/>
      <c r="R221" s="3"/>
      <c r="S221" s="3"/>
      <c r="T221" s="3"/>
    </row>
    <row r="222" spans="1:20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4"/>
      <c r="K222" s="4"/>
      <c r="L222" s="3"/>
      <c r="M222" s="4"/>
      <c r="N222" s="3"/>
      <c r="O222" s="3"/>
      <c r="P222" s="3"/>
      <c r="Q222" s="3"/>
      <c r="R222" s="3"/>
      <c r="S222" s="3"/>
      <c r="T222" s="3"/>
    </row>
    <row r="223" spans="1:20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4"/>
      <c r="K223" s="4"/>
      <c r="L223" s="3"/>
      <c r="M223" s="4"/>
      <c r="N223" s="3"/>
      <c r="O223" s="3"/>
      <c r="P223" s="3"/>
      <c r="Q223" s="3"/>
      <c r="R223" s="3"/>
      <c r="S223" s="3"/>
      <c r="T223" s="3"/>
    </row>
    <row r="224" spans="1:20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4"/>
      <c r="K224" s="4"/>
      <c r="L224" s="3"/>
      <c r="M224" s="4"/>
      <c r="N224" s="3"/>
      <c r="O224" s="3"/>
      <c r="P224" s="3"/>
      <c r="Q224" s="3"/>
      <c r="R224" s="3"/>
      <c r="S224" s="3"/>
      <c r="T224" s="3"/>
    </row>
    <row r="225" spans="1:20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4"/>
      <c r="K225" s="4"/>
      <c r="L225" s="3"/>
      <c r="M225" s="4"/>
      <c r="N225" s="3"/>
      <c r="O225" s="3"/>
      <c r="P225" s="3"/>
      <c r="Q225" s="3"/>
      <c r="R225" s="3"/>
      <c r="S225" s="3"/>
      <c r="T225" s="3"/>
    </row>
    <row r="226" spans="1:20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4"/>
      <c r="K226" s="4"/>
      <c r="L226" s="3"/>
      <c r="M226" s="4"/>
      <c r="N226" s="3"/>
      <c r="O226" s="3"/>
      <c r="P226" s="3"/>
      <c r="Q226" s="3"/>
      <c r="R226" s="3"/>
      <c r="S226" s="3"/>
      <c r="T226" s="3"/>
    </row>
    <row r="227" spans="1:20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4"/>
      <c r="K227" s="4"/>
      <c r="L227" s="3"/>
      <c r="M227" s="4"/>
      <c r="N227" s="3"/>
      <c r="O227" s="3"/>
      <c r="P227" s="3"/>
      <c r="Q227" s="3"/>
      <c r="R227" s="3"/>
      <c r="S227" s="3"/>
      <c r="T227" s="3"/>
    </row>
    <row r="228" spans="1:20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4"/>
      <c r="K228" s="4"/>
      <c r="L228" s="3"/>
      <c r="M228" s="4"/>
      <c r="N228" s="3"/>
      <c r="O228" s="3"/>
      <c r="P228" s="3"/>
      <c r="Q228" s="3"/>
      <c r="R228" s="3"/>
      <c r="S228" s="3"/>
      <c r="T228" s="3"/>
    </row>
    <row r="229" spans="1:20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4"/>
      <c r="K229" s="4"/>
      <c r="L229" s="3"/>
      <c r="M229" s="4"/>
      <c r="N229" s="3"/>
      <c r="O229" s="3"/>
      <c r="P229" s="3"/>
      <c r="Q229" s="3"/>
      <c r="R229" s="3"/>
      <c r="S229" s="3"/>
      <c r="T229" s="3"/>
    </row>
    <row r="230" spans="1:2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4"/>
      <c r="K230" s="4"/>
      <c r="L230" s="3"/>
      <c r="M230" s="4"/>
      <c r="N230" s="3"/>
      <c r="O230" s="3"/>
      <c r="P230" s="3"/>
      <c r="Q230" s="3"/>
      <c r="R230" s="3"/>
      <c r="S230" s="3"/>
      <c r="T230" s="3"/>
    </row>
    <row r="231" spans="1:20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4"/>
      <c r="K231" s="4"/>
      <c r="L231" s="3"/>
      <c r="M231" s="4"/>
      <c r="N231" s="3"/>
      <c r="O231" s="3"/>
      <c r="P231" s="3"/>
      <c r="Q231" s="3"/>
      <c r="R231" s="3"/>
      <c r="S231" s="3"/>
      <c r="T231" s="3"/>
    </row>
    <row r="232" spans="1:20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4"/>
      <c r="K232" s="4"/>
      <c r="L232" s="3"/>
      <c r="M232" s="4"/>
      <c r="N232" s="3"/>
      <c r="O232" s="3"/>
      <c r="P232" s="3"/>
      <c r="Q232" s="3"/>
      <c r="R232" s="3"/>
      <c r="S232" s="3"/>
      <c r="T232" s="3"/>
    </row>
    <row r="233" spans="1:20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4"/>
      <c r="K233" s="4"/>
      <c r="L233" s="3"/>
      <c r="M233" s="4"/>
      <c r="N233" s="3"/>
      <c r="O233" s="3"/>
      <c r="P233" s="3"/>
      <c r="Q233" s="3"/>
      <c r="R233" s="3"/>
      <c r="S233" s="3"/>
      <c r="T233" s="3"/>
    </row>
    <row r="234" spans="1:20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4"/>
      <c r="K234" s="4"/>
      <c r="L234" s="3"/>
      <c r="M234" s="4"/>
      <c r="N234" s="3"/>
      <c r="O234" s="3"/>
      <c r="P234" s="3"/>
      <c r="Q234" s="3"/>
      <c r="R234" s="3"/>
      <c r="S234" s="3"/>
      <c r="T234" s="3"/>
    </row>
    <row r="235" spans="1:20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4"/>
      <c r="K235" s="4"/>
      <c r="L235" s="3"/>
      <c r="M235" s="4"/>
      <c r="N235" s="3"/>
      <c r="O235" s="3"/>
      <c r="P235" s="3"/>
      <c r="Q235" s="3"/>
      <c r="R235" s="3"/>
      <c r="S235" s="3"/>
      <c r="T235" s="3"/>
    </row>
    <row r="236" spans="1:20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4"/>
      <c r="K236" s="4"/>
      <c r="L236" s="3"/>
      <c r="M236" s="4"/>
      <c r="N236" s="3"/>
      <c r="O236" s="3"/>
      <c r="P236" s="3"/>
      <c r="Q236" s="3"/>
      <c r="R236" s="3"/>
      <c r="S236" s="3"/>
      <c r="T236" s="3"/>
    </row>
    <row r="237" spans="1:20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4"/>
      <c r="K237" s="4"/>
      <c r="L237" s="3"/>
      <c r="M237" s="4"/>
      <c r="N237" s="3"/>
      <c r="O237" s="3"/>
      <c r="P237" s="3"/>
      <c r="Q237" s="3"/>
      <c r="R237" s="3"/>
      <c r="S237" s="3"/>
      <c r="T237" s="3"/>
    </row>
    <row r="238" spans="1:20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4"/>
      <c r="K238" s="4"/>
      <c r="L238" s="3"/>
      <c r="M238" s="4"/>
      <c r="N238" s="3"/>
      <c r="O238" s="3"/>
      <c r="P238" s="3"/>
      <c r="Q238" s="3"/>
      <c r="R238" s="3"/>
      <c r="S238" s="3"/>
      <c r="T238" s="3"/>
    </row>
    <row r="239" spans="1:20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4"/>
      <c r="K239" s="4"/>
      <c r="L239" s="3"/>
      <c r="M239" s="4"/>
      <c r="N239" s="3"/>
      <c r="O239" s="3"/>
      <c r="P239" s="3"/>
      <c r="Q239" s="3"/>
      <c r="R239" s="3"/>
      <c r="S239" s="3"/>
      <c r="T239" s="3"/>
    </row>
    <row r="240" spans="1:2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4"/>
      <c r="K240" s="4"/>
      <c r="L240" s="3"/>
      <c r="M240" s="4"/>
      <c r="N240" s="3"/>
      <c r="O240" s="3"/>
      <c r="P240" s="3"/>
      <c r="Q240" s="3"/>
      <c r="R240" s="3"/>
      <c r="S240" s="3"/>
      <c r="T240" s="3"/>
    </row>
    <row r="241" spans="1:20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4"/>
      <c r="K241" s="4"/>
      <c r="L241" s="3"/>
      <c r="M241" s="4"/>
      <c r="N241" s="3"/>
      <c r="O241" s="3"/>
      <c r="P241" s="3"/>
      <c r="Q241" s="3"/>
      <c r="R241" s="3"/>
      <c r="S241" s="3"/>
      <c r="T241" s="3"/>
    </row>
    <row r="242" spans="1:20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4"/>
      <c r="K242" s="4"/>
      <c r="L242" s="3"/>
      <c r="M242" s="4"/>
      <c r="N242" s="3"/>
      <c r="O242" s="3"/>
      <c r="P242" s="3"/>
      <c r="Q242" s="3"/>
      <c r="R242" s="3"/>
      <c r="S242" s="3"/>
      <c r="T242" s="3"/>
    </row>
    <row r="243" spans="1:20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4"/>
      <c r="K243" s="4"/>
      <c r="L243" s="3"/>
      <c r="M243" s="4"/>
      <c r="N243" s="3"/>
      <c r="O243" s="3"/>
      <c r="P243" s="3"/>
      <c r="Q243" s="3"/>
      <c r="R243" s="3"/>
      <c r="S243" s="3"/>
      <c r="T243" s="3"/>
    </row>
    <row r="244" spans="1:20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4"/>
      <c r="K244" s="4"/>
      <c r="L244" s="3"/>
      <c r="M244" s="4"/>
      <c r="N244" s="3"/>
      <c r="O244" s="3"/>
      <c r="P244" s="3"/>
      <c r="Q244" s="3"/>
      <c r="R244" s="3"/>
      <c r="S244" s="3"/>
      <c r="T244" s="3"/>
    </row>
    <row r="245" spans="1:20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4"/>
      <c r="K245" s="4"/>
      <c r="L245" s="3"/>
      <c r="M245" s="4"/>
      <c r="N245" s="3"/>
      <c r="O245" s="3"/>
      <c r="P245" s="3"/>
      <c r="Q245" s="3"/>
      <c r="R245" s="3"/>
      <c r="S245" s="3"/>
      <c r="T245" s="3"/>
    </row>
    <row r="246" spans="1:20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4"/>
      <c r="K246" s="4"/>
      <c r="L246" s="3"/>
      <c r="M246" s="4"/>
      <c r="N246" s="3"/>
      <c r="O246" s="3"/>
      <c r="P246" s="3"/>
      <c r="Q246" s="3"/>
      <c r="R246" s="3"/>
      <c r="S246" s="3"/>
      <c r="T246" s="3"/>
    </row>
    <row r="247" spans="1:20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4"/>
      <c r="K247" s="4"/>
      <c r="L247" s="3"/>
      <c r="M247" s="4"/>
      <c r="N247" s="3"/>
      <c r="O247" s="3"/>
      <c r="P247" s="3"/>
      <c r="Q247" s="3"/>
      <c r="R247" s="3"/>
      <c r="S247" s="3"/>
      <c r="T247" s="3"/>
    </row>
    <row r="248" spans="1:20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4"/>
      <c r="K248" s="4"/>
      <c r="L248" s="3"/>
      <c r="M248" s="4"/>
      <c r="N248" s="3"/>
      <c r="O248" s="3"/>
      <c r="P248" s="3"/>
      <c r="Q248" s="3"/>
      <c r="R248" s="3"/>
      <c r="S248" s="3"/>
      <c r="T248" s="3"/>
    </row>
    <row r="249" spans="1:20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4"/>
      <c r="K249" s="4"/>
      <c r="L249" s="3"/>
      <c r="M249" s="4"/>
      <c r="N249" s="3"/>
      <c r="O249" s="3"/>
      <c r="P249" s="3"/>
      <c r="Q249" s="3"/>
      <c r="R249" s="3"/>
      <c r="S249" s="3"/>
      <c r="T249" s="3"/>
    </row>
    <row r="250" spans="1:2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4"/>
      <c r="K250" s="4"/>
      <c r="L250" s="3"/>
      <c r="M250" s="4"/>
      <c r="N250" s="3"/>
      <c r="O250" s="3"/>
      <c r="P250" s="3"/>
      <c r="Q250" s="3"/>
      <c r="R250" s="3"/>
      <c r="S250" s="3"/>
      <c r="T250" s="3"/>
    </row>
    <row r="251" spans="1:20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4"/>
      <c r="K251" s="4"/>
      <c r="L251" s="3"/>
      <c r="M251" s="4"/>
      <c r="N251" s="3"/>
      <c r="O251" s="3"/>
      <c r="P251" s="3"/>
      <c r="Q251" s="3"/>
      <c r="R251" s="3"/>
      <c r="S251" s="3"/>
      <c r="T251" s="3"/>
    </row>
    <row r="252" spans="1:20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4"/>
      <c r="K252" s="4"/>
      <c r="L252" s="3"/>
      <c r="M252" s="4"/>
      <c r="N252" s="3"/>
      <c r="O252" s="3"/>
      <c r="P252" s="3"/>
      <c r="Q252" s="3"/>
      <c r="R252" s="3"/>
      <c r="S252" s="3"/>
      <c r="T252" s="3"/>
    </row>
    <row r="253" spans="1:20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4"/>
      <c r="K253" s="4"/>
      <c r="L253" s="3"/>
      <c r="M253" s="4"/>
      <c r="N253" s="3"/>
      <c r="O253" s="3"/>
      <c r="P253" s="3"/>
      <c r="Q253" s="3"/>
      <c r="R253" s="3"/>
      <c r="S253" s="3"/>
      <c r="T253" s="3"/>
    </row>
    <row r="254" spans="1:20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4"/>
      <c r="K254" s="4"/>
      <c r="L254" s="3"/>
      <c r="M254" s="4"/>
      <c r="N254" s="3"/>
      <c r="O254" s="3"/>
      <c r="P254" s="3"/>
      <c r="Q254" s="3"/>
      <c r="R254" s="3"/>
      <c r="S254" s="3"/>
      <c r="T254" s="3"/>
    </row>
    <row r="255" spans="1:20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4"/>
      <c r="K255" s="4"/>
      <c r="L255" s="3"/>
      <c r="M255" s="4"/>
      <c r="N255" s="3"/>
      <c r="O255" s="3"/>
      <c r="P255" s="3"/>
      <c r="Q255" s="3"/>
      <c r="R255" s="3"/>
      <c r="S255" s="3"/>
      <c r="T255" s="3"/>
    </row>
    <row r="256" spans="1:20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4"/>
      <c r="K256" s="4"/>
      <c r="L256" s="3"/>
      <c r="M256" s="4"/>
      <c r="N256" s="3"/>
      <c r="O256" s="3"/>
      <c r="P256" s="3"/>
      <c r="Q256" s="3"/>
      <c r="R256" s="3"/>
      <c r="S256" s="3"/>
      <c r="T256" s="3"/>
    </row>
    <row r="257" spans="1:20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4"/>
      <c r="K257" s="4"/>
      <c r="L257" s="3"/>
      <c r="M257" s="4"/>
      <c r="N257" s="3"/>
      <c r="O257" s="3"/>
      <c r="P257" s="3"/>
      <c r="Q257" s="3"/>
      <c r="R257" s="3"/>
      <c r="S257" s="3"/>
      <c r="T257" s="3"/>
    </row>
    <row r="258" spans="1:20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4"/>
      <c r="K258" s="4"/>
      <c r="L258" s="3"/>
      <c r="M258" s="4"/>
      <c r="N258" s="3"/>
      <c r="O258" s="3"/>
      <c r="P258" s="3"/>
      <c r="Q258" s="3"/>
      <c r="R258" s="3"/>
      <c r="S258" s="3"/>
      <c r="T258" s="3"/>
    </row>
    <row r="259" spans="1:20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4"/>
      <c r="K259" s="4"/>
      <c r="L259" s="3"/>
      <c r="M259" s="4"/>
      <c r="N259" s="3"/>
      <c r="O259" s="3"/>
      <c r="P259" s="3"/>
      <c r="Q259" s="3"/>
      <c r="R259" s="3"/>
      <c r="S259" s="3"/>
      <c r="T259" s="3"/>
    </row>
    <row r="260" spans="1:2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4"/>
      <c r="K260" s="4"/>
      <c r="L260" s="3"/>
      <c r="M260" s="4"/>
      <c r="N260" s="3"/>
      <c r="O260" s="3"/>
      <c r="P260" s="3"/>
      <c r="Q260" s="3"/>
      <c r="R260" s="3"/>
      <c r="S260" s="3"/>
      <c r="T260" s="3"/>
    </row>
    <row r="261" spans="1:20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4"/>
      <c r="K261" s="4"/>
      <c r="L261" s="3"/>
      <c r="M261" s="4"/>
      <c r="N261" s="3"/>
      <c r="O261" s="3"/>
      <c r="P261" s="3"/>
      <c r="Q261" s="3"/>
      <c r="R261" s="3"/>
      <c r="S261" s="3"/>
      <c r="T261" s="3"/>
    </row>
    <row r="262" spans="1:20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4"/>
      <c r="K262" s="4"/>
      <c r="L262" s="3"/>
      <c r="M262" s="4"/>
      <c r="N262" s="3"/>
      <c r="O262" s="3"/>
      <c r="P262" s="3"/>
      <c r="Q262" s="3"/>
      <c r="R262" s="3"/>
      <c r="S262" s="3"/>
      <c r="T262" s="3"/>
    </row>
    <row r="263" spans="1:20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4"/>
      <c r="K263" s="4"/>
      <c r="L263" s="3"/>
      <c r="M263" s="4"/>
      <c r="N263" s="3"/>
      <c r="O263" s="3"/>
      <c r="P263" s="3"/>
      <c r="Q263" s="3"/>
      <c r="R263" s="3"/>
      <c r="S263" s="3"/>
      <c r="T263" s="3"/>
    </row>
    <row r="264" spans="1:20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4"/>
      <c r="K264" s="4"/>
      <c r="L264" s="3"/>
      <c r="M264" s="4"/>
      <c r="N264" s="3"/>
      <c r="O264" s="3"/>
      <c r="P264" s="3"/>
      <c r="Q264" s="3"/>
      <c r="R264" s="3"/>
      <c r="S264" s="3"/>
      <c r="T264" s="3"/>
    </row>
    <row r="265" spans="1:20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4"/>
      <c r="K265" s="4"/>
      <c r="L265" s="3"/>
      <c r="M265" s="4"/>
      <c r="N265" s="3"/>
      <c r="O265" s="3"/>
      <c r="P265" s="3"/>
      <c r="Q265" s="3"/>
      <c r="R265" s="3"/>
      <c r="S265" s="3"/>
      <c r="T265" s="3"/>
    </row>
    <row r="266" spans="1:20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4"/>
      <c r="K266" s="4"/>
      <c r="L266" s="3"/>
      <c r="M266" s="4"/>
      <c r="N266" s="3"/>
      <c r="O266" s="3"/>
      <c r="P266" s="3"/>
      <c r="Q266" s="3"/>
      <c r="R266" s="3"/>
      <c r="S266" s="3"/>
      <c r="T266" s="3"/>
    </row>
    <row r="267" spans="1:20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4"/>
      <c r="K267" s="4"/>
      <c r="L267" s="3"/>
      <c r="M267" s="4"/>
      <c r="N267" s="3"/>
      <c r="O267" s="3"/>
      <c r="P267" s="3"/>
      <c r="Q267" s="3"/>
      <c r="R267" s="3"/>
      <c r="S267" s="3"/>
      <c r="T267" s="3"/>
    </row>
    <row r="268" spans="1:20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4"/>
      <c r="K268" s="4"/>
      <c r="L268" s="3"/>
      <c r="M268" s="4"/>
      <c r="N268" s="3"/>
      <c r="O268" s="3"/>
      <c r="P268" s="3"/>
      <c r="Q268" s="3"/>
      <c r="R268" s="3"/>
      <c r="S268" s="3"/>
      <c r="T268" s="3"/>
    </row>
    <row r="269" spans="1:20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4"/>
      <c r="K269" s="4"/>
      <c r="L269" s="3"/>
      <c r="M269" s="4"/>
      <c r="N269" s="3"/>
      <c r="O269" s="3"/>
      <c r="P269" s="3"/>
      <c r="Q269" s="3"/>
      <c r="R269" s="3"/>
      <c r="S269" s="3"/>
      <c r="T269" s="3"/>
    </row>
    <row r="270" spans="1:2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4"/>
      <c r="K270" s="4"/>
      <c r="L270" s="3"/>
      <c r="M270" s="4"/>
      <c r="N270" s="3"/>
      <c r="O270" s="3"/>
      <c r="P270" s="3"/>
      <c r="Q270" s="3"/>
      <c r="R270" s="3"/>
      <c r="S270" s="3"/>
      <c r="T270" s="3"/>
    </row>
    <row r="271" spans="1:20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4"/>
      <c r="K271" s="4"/>
      <c r="L271" s="3"/>
      <c r="M271" s="4"/>
      <c r="N271" s="3"/>
      <c r="O271" s="3"/>
      <c r="P271" s="3"/>
      <c r="Q271" s="3"/>
      <c r="R271" s="3"/>
      <c r="S271" s="3"/>
      <c r="T271" s="3"/>
    </row>
    <row r="272" spans="1:20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4"/>
      <c r="K272" s="4"/>
      <c r="L272" s="3"/>
      <c r="M272" s="4"/>
      <c r="N272" s="3"/>
      <c r="O272" s="3"/>
      <c r="P272" s="3"/>
      <c r="Q272" s="3"/>
      <c r="R272" s="3"/>
      <c r="S272" s="3"/>
      <c r="T272" s="3"/>
    </row>
    <row r="273" spans="1:20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4"/>
      <c r="K273" s="4"/>
      <c r="L273" s="3"/>
      <c r="M273" s="4"/>
      <c r="N273" s="3"/>
      <c r="O273" s="3"/>
      <c r="P273" s="3"/>
      <c r="Q273" s="3"/>
      <c r="R273" s="3"/>
      <c r="S273" s="3"/>
      <c r="T273" s="3"/>
    </row>
    <row r="274" spans="1:20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4"/>
      <c r="K274" s="4"/>
      <c r="L274" s="3"/>
      <c r="M274" s="4"/>
      <c r="N274" s="3"/>
      <c r="O274" s="3"/>
      <c r="P274" s="3"/>
      <c r="Q274" s="3"/>
      <c r="R274" s="3"/>
      <c r="S274" s="3"/>
      <c r="T274" s="3"/>
    </row>
    <row r="275" spans="1:20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4"/>
      <c r="K275" s="4"/>
      <c r="L275" s="3"/>
      <c r="M275" s="4"/>
      <c r="N275" s="3"/>
      <c r="O275" s="3"/>
      <c r="P275" s="3"/>
      <c r="Q275" s="3"/>
      <c r="R275" s="3"/>
      <c r="S275" s="3"/>
      <c r="T275" s="3"/>
    </row>
    <row r="276" spans="1:20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4"/>
      <c r="K276" s="4"/>
      <c r="L276" s="3"/>
      <c r="M276" s="4"/>
      <c r="N276" s="3"/>
      <c r="O276" s="3"/>
      <c r="P276" s="3"/>
      <c r="Q276" s="3"/>
      <c r="R276" s="3"/>
      <c r="S276" s="3"/>
      <c r="T276" s="3"/>
    </row>
    <row r="277" spans="1:20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4"/>
      <c r="K277" s="4"/>
      <c r="L277" s="3"/>
      <c r="M277" s="4"/>
      <c r="N277" s="3"/>
      <c r="O277" s="3"/>
      <c r="P277" s="3"/>
      <c r="Q277" s="3"/>
      <c r="R277" s="3"/>
      <c r="S277" s="3"/>
      <c r="T277" s="3"/>
    </row>
    <row r="278" spans="1:20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4"/>
      <c r="K278" s="4"/>
      <c r="L278" s="3"/>
      <c r="M278" s="4"/>
      <c r="N278" s="3"/>
      <c r="O278" s="3"/>
      <c r="P278" s="3"/>
      <c r="Q278" s="3"/>
      <c r="R278" s="3"/>
      <c r="S278" s="3"/>
      <c r="T278" s="3"/>
    </row>
    <row r="279" spans="1:20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4"/>
      <c r="K279" s="4"/>
      <c r="L279" s="3"/>
      <c r="M279" s="4"/>
      <c r="N279" s="3"/>
      <c r="O279" s="3"/>
      <c r="P279" s="3"/>
      <c r="Q279" s="3"/>
      <c r="R279" s="3"/>
      <c r="S279" s="3"/>
      <c r="T279" s="3"/>
    </row>
    <row r="280" spans="1:2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4"/>
      <c r="K280" s="4"/>
      <c r="L280" s="3"/>
      <c r="M280" s="4"/>
      <c r="N280" s="3"/>
      <c r="O280" s="3"/>
      <c r="P280" s="3"/>
      <c r="Q280" s="3"/>
      <c r="R280" s="3"/>
      <c r="S280" s="3"/>
      <c r="T280" s="3"/>
    </row>
    <row r="281" spans="1:20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4"/>
      <c r="K281" s="4"/>
      <c r="L281" s="3"/>
      <c r="M281" s="4"/>
      <c r="N281" s="3"/>
      <c r="O281" s="3"/>
      <c r="P281" s="3"/>
      <c r="Q281" s="3"/>
      <c r="R281" s="3"/>
      <c r="S281" s="3"/>
      <c r="T281" s="3"/>
    </row>
    <row r="282" spans="1:20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4"/>
      <c r="K282" s="4"/>
      <c r="L282" s="3"/>
      <c r="M282" s="4"/>
      <c r="N282" s="3"/>
      <c r="O282" s="3"/>
      <c r="P282" s="3"/>
      <c r="Q282" s="3"/>
      <c r="R282" s="3"/>
      <c r="S282" s="3"/>
      <c r="T282" s="3"/>
    </row>
    <row r="283" spans="1:20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4"/>
      <c r="K283" s="4"/>
      <c r="L283" s="3"/>
      <c r="M283" s="4"/>
      <c r="N283" s="3"/>
      <c r="O283" s="3"/>
      <c r="P283" s="3"/>
      <c r="Q283" s="3"/>
      <c r="R283" s="3"/>
      <c r="S283" s="3"/>
      <c r="T283" s="3"/>
    </row>
    <row r="284" spans="1:20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4"/>
      <c r="K284" s="4"/>
      <c r="L284" s="3"/>
      <c r="M284" s="4"/>
      <c r="N284" s="3"/>
      <c r="O284" s="3"/>
      <c r="P284" s="3"/>
      <c r="Q284" s="3"/>
      <c r="R284" s="3"/>
      <c r="S284" s="3"/>
      <c r="T284" s="3"/>
    </row>
    <row r="285" spans="1:20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4"/>
      <c r="K285" s="4"/>
      <c r="L285" s="3"/>
      <c r="M285" s="4"/>
      <c r="N285" s="3"/>
      <c r="O285" s="3"/>
      <c r="P285" s="3"/>
      <c r="Q285" s="3"/>
      <c r="R285" s="3"/>
      <c r="S285" s="3"/>
      <c r="T285" s="3"/>
    </row>
    <row r="286" spans="1:20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4"/>
      <c r="K286" s="4"/>
      <c r="L286" s="3"/>
      <c r="M286" s="4"/>
      <c r="N286" s="3"/>
      <c r="O286" s="3"/>
      <c r="P286" s="3"/>
      <c r="Q286" s="3"/>
      <c r="R286" s="3"/>
      <c r="S286" s="3"/>
      <c r="T286" s="3"/>
    </row>
    <row r="287" spans="1:20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4"/>
      <c r="K287" s="4"/>
      <c r="L287" s="3"/>
      <c r="M287" s="4"/>
      <c r="N287" s="3"/>
      <c r="O287" s="3"/>
      <c r="P287" s="3"/>
      <c r="Q287" s="3"/>
      <c r="R287" s="3"/>
      <c r="S287" s="3"/>
      <c r="T287" s="3"/>
    </row>
    <row r="288" spans="1:20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4"/>
      <c r="K288" s="4"/>
      <c r="L288" s="3"/>
      <c r="M288" s="4"/>
      <c r="N288" s="3"/>
      <c r="O288" s="3"/>
      <c r="P288" s="3"/>
      <c r="Q288" s="3"/>
      <c r="R288" s="3"/>
      <c r="S288" s="3"/>
      <c r="T288" s="3"/>
    </row>
    <row r="289" spans="1:20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4"/>
      <c r="K289" s="4"/>
      <c r="L289" s="3"/>
      <c r="M289" s="4"/>
      <c r="N289" s="3"/>
      <c r="O289" s="3"/>
      <c r="P289" s="3"/>
      <c r="Q289" s="3"/>
      <c r="R289" s="3"/>
      <c r="S289" s="3"/>
      <c r="T289" s="3"/>
    </row>
    <row r="290" spans="1:2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4"/>
      <c r="K290" s="4"/>
      <c r="L290" s="3"/>
      <c r="M290" s="4"/>
      <c r="N290" s="3"/>
      <c r="O290" s="3"/>
      <c r="P290" s="3"/>
      <c r="Q290" s="3"/>
      <c r="R290" s="3"/>
      <c r="S290" s="3"/>
      <c r="T290" s="3"/>
    </row>
    <row r="291" spans="1:20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4"/>
      <c r="K291" s="4"/>
      <c r="L291" s="3"/>
      <c r="M291" s="4"/>
      <c r="N291" s="3"/>
      <c r="O291" s="3"/>
      <c r="P291" s="3"/>
      <c r="Q291" s="3"/>
      <c r="R291" s="3"/>
      <c r="S291" s="3"/>
      <c r="T291" s="3"/>
    </row>
    <row r="292" spans="1:20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4"/>
      <c r="K292" s="4"/>
      <c r="L292" s="3"/>
      <c r="M292" s="4"/>
      <c r="N292" s="3"/>
      <c r="O292" s="3"/>
      <c r="P292" s="3"/>
      <c r="Q292" s="3"/>
      <c r="R292" s="3"/>
      <c r="S292" s="3"/>
      <c r="T292" s="3"/>
    </row>
    <row r="293" spans="1:20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4"/>
      <c r="K293" s="4"/>
      <c r="L293" s="3"/>
      <c r="M293" s="4"/>
      <c r="N293" s="3"/>
      <c r="O293" s="3"/>
      <c r="P293" s="3"/>
      <c r="Q293" s="3"/>
      <c r="R293" s="3"/>
      <c r="S293" s="3"/>
      <c r="T293" s="3"/>
    </row>
    <row r="294" spans="1:20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4"/>
      <c r="K294" s="4"/>
      <c r="L294" s="3"/>
      <c r="M294" s="4"/>
      <c r="N294" s="3"/>
      <c r="O294" s="3"/>
      <c r="P294" s="3"/>
      <c r="Q294" s="3"/>
      <c r="R294" s="3"/>
      <c r="S294" s="3"/>
      <c r="T294" s="3"/>
    </row>
    <row r="295" spans="1:20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4"/>
      <c r="K295" s="4"/>
      <c r="L295" s="3"/>
      <c r="M295" s="4"/>
      <c r="N295" s="3"/>
      <c r="O295" s="3"/>
      <c r="P295" s="3"/>
      <c r="Q295" s="3"/>
      <c r="R295" s="3"/>
      <c r="S295" s="3"/>
      <c r="T295" s="3"/>
    </row>
    <row r="296" spans="1:20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4"/>
      <c r="K296" s="4"/>
      <c r="L296" s="3"/>
      <c r="M296" s="4"/>
      <c r="N296" s="3"/>
      <c r="O296" s="3"/>
      <c r="P296" s="3"/>
      <c r="Q296" s="3"/>
      <c r="R296" s="3"/>
      <c r="S296" s="3"/>
      <c r="T296" s="3"/>
    </row>
    <row r="297" spans="1:20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4"/>
      <c r="K297" s="4"/>
      <c r="L297" s="3"/>
      <c r="M297" s="4"/>
      <c r="N297" s="3"/>
      <c r="O297" s="3"/>
      <c r="P297" s="3"/>
      <c r="Q297" s="3"/>
      <c r="R297" s="3"/>
      <c r="S297" s="3"/>
      <c r="T297" s="3"/>
    </row>
    <row r="298" spans="1:20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4"/>
      <c r="K298" s="4"/>
      <c r="L298" s="3"/>
      <c r="M298" s="4"/>
      <c r="N298" s="3"/>
      <c r="O298" s="3"/>
      <c r="P298" s="3"/>
      <c r="Q298" s="3"/>
      <c r="R298" s="3"/>
      <c r="S298" s="3"/>
      <c r="T298" s="3"/>
    </row>
    <row r="299" spans="1:20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4"/>
      <c r="K299" s="4"/>
      <c r="L299" s="3"/>
      <c r="M299" s="4"/>
      <c r="N299" s="3"/>
      <c r="O299" s="3"/>
      <c r="P299" s="3"/>
      <c r="Q299" s="3"/>
      <c r="R299" s="3"/>
      <c r="S299" s="3"/>
      <c r="T299" s="3"/>
    </row>
    <row r="300" spans="1:2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4"/>
      <c r="K300" s="4"/>
      <c r="L300" s="3"/>
      <c r="M300" s="4"/>
      <c r="N300" s="3"/>
      <c r="O300" s="3"/>
      <c r="P300" s="3"/>
      <c r="Q300" s="3"/>
      <c r="R300" s="3"/>
      <c r="S300" s="3"/>
      <c r="T300" s="3"/>
    </row>
    <row r="301" spans="1:20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4"/>
      <c r="K301" s="4"/>
      <c r="L301" s="3"/>
      <c r="M301" s="4"/>
      <c r="N301" s="3"/>
      <c r="O301" s="3"/>
      <c r="P301" s="3"/>
      <c r="Q301" s="3"/>
      <c r="R301" s="3"/>
      <c r="S301" s="3"/>
      <c r="T301" s="3"/>
    </row>
    <row r="302" spans="1:20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4"/>
      <c r="K302" s="4"/>
      <c r="L302" s="3"/>
      <c r="M302" s="4"/>
      <c r="N302" s="3"/>
      <c r="O302" s="3"/>
      <c r="P302" s="3"/>
      <c r="Q302" s="3"/>
      <c r="R302" s="3"/>
      <c r="S302" s="3"/>
      <c r="T302" s="3"/>
    </row>
    <row r="303" spans="1:20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4"/>
      <c r="K303" s="4"/>
      <c r="L303" s="3"/>
      <c r="M303" s="4"/>
      <c r="N303" s="3"/>
      <c r="O303" s="3"/>
      <c r="P303" s="3"/>
      <c r="Q303" s="3"/>
      <c r="R303" s="3"/>
      <c r="S303" s="3"/>
      <c r="T303" s="3"/>
    </row>
    <row r="304" spans="1:20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4"/>
      <c r="K304" s="4"/>
      <c r="L304" s="3"/>
      <c r="M304" s="4"/>
      <c r="N304" s="3"/>
      <c r="O304" s="3"/>
      <c r="P304" s="3"/>
      <c r="Q304" s="3"/>
      <c r="R304" s="3"/>
      <c r="S304" s="3"/>
      <c r="T304" s="3"/>
    </row>
    <row r="305" spans="1:20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4"/>
      <c r="K305" s="4"/>
      <c r="L305" s="3"/>
      <c r="M305" s="4"/>
      <c r="N305" s="3"/>
      <c r="O305" s="3"/>
      <c r="P305" s="3"/>
      <c r="Q305" s="3"/>
      <c r="R305" s="3"/>
      <c r="S305" s="3"/>
      <c r="T305" s="3"/>
    </row>
    <row r="306" spans="1:20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4"/>
      <c r="K306" s="4"/>
      <c r="L306" s="3"/>
      <c r="M306" s="4"/>
      <c r="N306" s="3"/>
      <c r="O306" s="3"/>
      <c r="P306" s="3"/>
      <c r="Q306" s="3"/>
      <c r="R306" s="3"/>
      <c r="S306" s="3"/>
      <c r="T306" s="3"/>
    </row>
    <row r="307" spans="1:20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4"/>
      <c r="K307" s="4"/>
      <c r="L307" s="3"/>
      <c r="M307" s="4"/>
      <c r="N307" s="3"/>
      <c r="O307" s="3"/>
      <c r="P307" s="3"/>
      <c r="Q307" s="3"/>
      <c r="R307" s="3"/>
      <c r="S307" s="3"/>
      <c r="T307" s="3"/>
    </row>
    <row r="308" spans="1:20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4"/>
      <c r="K308" s="4"/>
      <c r="L308" s="3"/>
      <c r="M308" s="4"/>
      <c r="N308" s="3"/>
      <c r="O308" s="3"/>
      <c r="P308" s="3"/>
      <c r="Q308" s="3"/>
      <c r="R308" s="3"/>
      <c r="S308" s="3"/>
      <c r="T308" s="3"/>
    </row>
    <row r="309" spans="1:20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4"/>
      <c r="K309" s="4"/>
      <c r="L309" s="3"/>
      <c r="M309" s="4"/>
      <c r="N309" s="3"/>
      <c r="O309" s="3"/>
      <c r="P309" s="3"/>
      <c r="Q309" s="3"/>
      <c r="R309" s="3"/>
      <c r="S309" s="3"/>
      <c r="T309" s="3"/>
    </row>
    <row r="310" spans="1:2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4"/>
      <c r="K310" s="4"/>
      <c r="L310" s="3"/>
      <c r="M310" s="4"/>
      <c r="N310" s="3"/>
      <c r="O310" s="3"/>
      <c r="P310" s="3"/>
      <c r="Q310" s="3"/>
      <c r="R310" s="3"/>
      <c r="S310" s="3"/>
      <c r="T310" s="3"/>
    </row>
    <row r="311" spans="1:20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4"/>
      <c r="K311" s="4"/>
      <c r="L311" s="3"/>
      <c r="M311" s="4"/>
      <c r="N311" s="3"/>
      <c r="O311" s="3"/>
      <c r="P311" s="3"/>
      <c r="Q311" s="3"/>
      <c r="R311" s="3"/>
      <c r="S311" s="3"/>
      <c r="T311" s="3"/>
    </row>
    <row r="312" spans="1:20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4"/>
      <c r="K312" s="4"/>
      <c r="L312" s="3"/>
      <c r="M312" s="4"/>
      <c r="N312" s="3"/>
      <c r="O312" s="3"/>
      <c r="P312" s="3"/>
      <c r="Q312" s="3"/>
      <c r="R312" s="3"/>
      <c r="S312" s="3"/>
      <c r="T312" s="3"/>
    </row>
    <row r="313" spans="1:20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4"/>
      <c r="K313" s="4"/>
      <c r="L313" s="3"/>
      <c r="M313" s="4"/>
      <c r="N313" s="3"/>
      <c r="O313" s="3"/>
      <c r="P313" s="3"/>
      <c r="Q313" s="3"/>
      <c r="R313" s="3"/>
      <c r="S313" s="3"/>
      <c r="T313" s="3"/>
    </row>
    <row r="314" spans="1:20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4"/>
      <c r="K314" s="4"/>
      <c r="L314" s="3"/>
      <c r="M314" s="4"/>
      <c r="N314" s="3"/>
      <c r="O314" s="3"/>
      <c r="P314" s="3"/>
      <c r="Q314" s="3"/>
      <c r="R314" s="3"/>
      <c r="S314" s="3"/>
      <c r="T314" s="3"/>
    </row>
    <row r="315" spans="1:20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4"/>
      <c r="K315" s="4"/>
      <c r="L315" s="3"/>
      <c r="M315" s="4"/>
      <c r="N315" s="3"/>
      <c r="O315" s="3"/>
      <c r="P315" s="3"/>
      <c r="Q315" s="3"/>
      <c r="R315" s="3"/>
      <c r="S315" s="3"/>
      <c r="T315" s="3"/>
    </row>
    <row r="316" spans="1:20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4"/>
      <c r="K316" s="4"/>
      <c r="L316" s="3"/>
      <c r="M316" s="4"/>
      <c r="N316" s="3"/>
      <c r="O316" s="3"/>
      <c r="P316" s="3"/>
      <c r="Q316" s="3"/>
      <c r="R316" s="3"/>
      <c r="S316" s="3"/>
      <c r="T316" s="3"/>
    </row>
    <row r="317" spans="1:20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4"/>
      <c r="K317" s="4"/>
      <c r="L317" s="3"/>
      <c r="M317" s="4"/>
      <c r="N317" s="3"/>
      <c r="O317" s="3"/>
      <c r="P317" s="3"/>
      <c r="Q317" s="3"/>
      <c r="R317" s="3"/>
      <c r="S317" s="3"/>
      <c r="T317" s="3"/>
    </row>
    <row r="318" spans="1:20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4"/>
      <c r="K318" s="4"/>
      <c r="L318" s="3"/>
      <c r="M318" s="4"/>
      <c r="N318" s="3"/>
      <c r="O318" s="3"/>
      <c r="P318" s="3"/>
      <c r="Q318" s="3"/>
      <c r="R318" s="3"/>
      <c r="S318" s="3"/>
      <c r="T318" s="3"/>
    </row>
    <row r="319" spans="1:20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4"/>
      <c r="K319" s="4"/>
      <c r="L319" s="3"/>
      <c r="M319" s="4"/>
      <c r="N319" s="3"/>
      <c r="O319" s="3"/>
      <c r="P319" s="3"/>
      <c r="Q319" s="3"/>
      <c r="R319" s="3"/>
      <c r="S319" s="3"/>
      <c r="T319" s="3"/>
    </row>
    <row r="320" spans="1: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4"/>
      <c r="K320" s="4"/>
      <c r="L320" s="3"/>
      <c r="M320" s="4"/>
      <c r="N320" s="3"/>
      <c r="O320" s="3"/>
      <c r="P320" s="3"/>
      <c r="Q320" s="3"/>
      <c r="R320" s="3"/>
      <c r="S320" s="3"/>
      <c r="T320" s="3"/>
    </row>
    <row r="321" spans="1:20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4"/>
      <c r="K321" s="4"/>
      <c r="L321" s="3"/>
      <c r="M321" s="4"/>
      <c r="N321" s="3"/>
      <c r="O321" s="3"/>
      <c r="P321" s="3"/>
      <c r="Q321" s="3"/>
      <c r="R321" s="3"/>
      <c r="S321" s="3"/>
      <c r="T321" s="3"/>
    </row>
    <row r="322" spans="1:20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4"/>
      <c r="K322" s="4"/>
      <c r="L322" s="3"/>
      <c r="M322" s="4"/>
      <c r="N322" s="3"/>
      <c r="O322" s="3"/>
      <c r="P322" s="3"/>
      <c r="Q322" s="3"/>
      <c r="R322" s="3"/>
      <c r="S322" s="3"/>
      <c r="T322" s="3"/>
    </row>
    <row r="323" spans="1:20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4"/>
      <c r="K323" s="4"/>
      <c r="L323" s="3"/>
      <c r="M323" s="4"/>
      <c r="N323" s="3"/>
      <c r="O323" s="3"/>
      <c r="P323" s="3"/>
      <c r="Q323" s="3"/>
      <c r="R323" s="3"/>
      <c r="S323" s="3"/>
      <c r="T323" s="3"/>
    </row>
    <row r="324" spans="1:20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4"/>
      <c r="K324" s="4"/>
      <c r="L324" s="3"/>
      <c r="M324" s="4"/>
      <c r="N324" s="3"/>
      <c r="O324" s="3"/>
      <c r="P324" s="3"/>
      <c r="Q324" s="3"/>
      <c r="R324" s="3"/>
      <c r="S324" s="3"/>
      <c r="T324" s="3"/>
    </row>
    <row r="325" spans="1:20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4"/>
      <c r="K325" s="4"/>
      <c r="L325" s="3"/>
      <c r="M325" s="4"/>
      <c r="N325" s="3"/>
      <c r="O325" s="3"/>
      <c r="P325" s="3"/>
      <c r="Q325" s="3"/>
      <c r="R325" s="3"/>
      <c r="S325" s="3"/>
      <c r="T325" s="3"/>
    </row>
    <row r="326" spans="1:20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4"/>
      <c r="K326" s="4"/>
      <c r="L326" s="3"/>
      <c r="M326" s="4"/>
      <c r="N326" s="3"/>
      <c r="O326" s="3"/>
      <c r="P326" s="3"/>
      <c r="Q326" s="3"/>
      <c r="R326" s="3"/>
      <c r="S326" s="3"/>
      <c r="T326" s="3"/>
    </row>
    <row r="327" spans="1:20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4"/>
      <c r="K327" s="4"/>
      <c r="L327" s="3"/>
      <c r="M327" s="4"/>
      <c r="N327" s="3"/>
      <c r="O327" s="3"/>
      <c r="P327" s="3"/>
      <c r="Q327" s="3"/>
      <c r="R327" s="3"/>
      <c r="S327" s="3"/>
      <c r="T327" s="3"/>
    </row>
    <row r="328" spans="1:20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4"/>
      <c r="K328" s="4"/>
      <c r="L328" s="3"/>
      <c r="M328" s="4"/>
      <c r="N328" s="3"/>
      <c r="O328" s="3"/>
      <c r="P328" s="3"/>
      <c r="Q328" s="3"/>
      <c r="R328" s="3"/>
      <c r="S328" s="3"/>
      <c r="T328" s="3"/>
    </row>
    <row r="329" spans="1:20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4"/>
      <c r="K329" s="4"/>
      <c r="L329" s="3"/>
      <c r="M329" s="4"/>
      <c r="N329" s="3"/>
      <c r="O329" s="3"/>
      <c r="P329" s="3"/>
      <c r="Q329" s="3"/>
      <c r="R329" s="3"/>
      <c r="S329" s="3"/>
      <c r="T329" s="3"/>
    </row>
    <row r="330" spans="1:2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4"/>
      <c r="K330" s="4"/>
      <c r="L330" s="3"/>
      <c r="M330" s="4"/>
      <c r="N330" s="3"/>
      <c r="O330" s="3"/>
      <c r="P330" s="3"/>
      <c r="Q330" s="3"/>
      <c r="R330" s="3"/>
      <c r="S330" s="3"/>
      <c r="T330" s="3"/>
    </row>
    <row r="331" spans="1:20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4"/>
      <c r="K331" s="4"/>
      <c r="L331" s="3"/>
      <c r="M331" s="4"/>
      <c r="N331" s="3"/>
      <c r="O331" s="3"/>
      <c r="P331" s="3"/>
      <c r="Q331" s="3"/>
      <c r="R331" s="3"/>
      <c r="S331" s="3"/>
      <c r="T331" s="3"/>
    </row>
    <row r="332" spans="1:20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4"/>
      <c r="K332" s="4"/>
      <c r="L332" s="3"/>
      <c r="M332" s="4"/>
      <c r="N332" s="3"/>
      <c r="O332" s="3"/>
      <c r="P332" s="3"/>
      <c r="Q332" s="3"/>
      <c r="R332" s="3"/>
      <c r="S332" s="3"/>
      <c r="T332" s="3"/>
    </row>
    <row r="333" spans="1:20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4"/>
      <c r="K333" s="4"/>
      <c r="L333" s="3"/>
      <c r="M333" s="4"/>
      <c r="N333" s="3"/>
      <c r="O333" s="3"/>
      <c r="P333" s="3"/>
      <c r="Q333" s="3"/>
      <c r="R333" s="3"/>
      <c r="S333" s="3"/>
      <c r="T333" s="3"/>
    </row>
    <row r="334" spans="1:20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4"/>
      <c r="K334" s="4"/>
      <c r="L334" s="3"/>
      <c r="M334" s="4"/>
      <c r="N334" s="3"/>
      <c r="O334" s="3"/>
      <c r="P334" s="3"/>
      <c r="Q334" s="3"/>
      <c r="R334" s="3"/>
      <c r="S334" s="3"/>
      <c r="T334" s="3"/>
    </row>
    <row r="335" spans="1:20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4"/>
      <c r="K335" s="4"/>
      <c r="L335" s="3"/>
      <c r="M335" s="4"/>
      <c r="N335" s="3"/>
      <c r="O335" s="3"/>
      <c r="P335" s="3"/>
      <c r="Q335" s="3"/>
      <c r="R335" s="3"/>
      <c r="S335" s="3"/>
      <c r="T335" s="3"/>
    </row>
    <row r="336" spans="1:20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4"/>
      <c r="K336" s="4"/>
      <c r="L336" s="3"/>
      <c r="M336" s="4"/>
      <c r="N336" s="3"/>
      <c r="O336" s="3"/>
      <c r="P336" s="3"/>
      <c r="Q336" s="3"/>
      <c r="R336" s="3"/>
      <c r="S336" s="3"/>
      <c r="T336" s="3"/>
    </row>
    <row r="337" spans="1:20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4"/>
      <c r="K337" s="4"/>
      <c r="L337" s="3"/>
      <c r="M337" s="4"/>
      <c r="N337" s="3"/>
      <c r="O337" s="3"/>
      <c r="P337" s="3"/>
      <c r="Q337" s="3"/>
      <c r="R337" s="3"/>
      <c r="S337" s="3"/>
      <c r="T337" s="3"/>
    </row>
    <row r="338" spans="1:20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4"/>
      <c r="K338" s="4"/>
      <c r="L338" s="3"/>
      <c r="M338" s="4"/>
      <c r="N338" s="3"/>
      <c r="O338" s="3"/>
      <c r="P338" s="3"/>
      <c r="Q338" s="3"/>
      <c r="R338" s="3"/>
      <c r="S338" s="3"/>
      <c r="T338" s="3"/>
    </row>
    <row r="339" spans="1:20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4"/>
      <c r="K339" s="4"/>
      <c r="L339" s="3"/>
      <c r="M339" s="4"/>
      <c r="N339" s="3"/>
      <c r="O339" s="3"/>
      <c r="P339" s="3"/>
      <c r="Q339" s="3"/>
      <c r="R339" s="3"/>
      <c r="S339" s="3"/>
      <c r="T339" s="3"/>
    </row>
    <row r="340" spans="1:2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4"/>
      <c r="K340" s="4"/>
      <c r="L340" s="3"/>
      <c r="M340" s="4"/>
      <c r="N340" s="3"/>
      <c r="O340" s="3"/>
      <c r="P340" s="3"/>
      <c r="Q340" s="3"/>
      <c r="R340" s="3"/>
      <c r="S340" s="3"/>
      <c r="T340" s="3"/>
    </row>
    <row r="341" spans="1:20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4"/>
      <c r="K341" s="4"/>
      <c r="L341" s="3"/>
      <c r="M341" s="4"/>
      <c r="N341" s="3"/>
      <c r="O341" s="3"/>
      <c r="P341" s="3"/>
      <c r="Q341" s="3"/>
      <c r="R341" s="3"/>
      <c r="S341" s="3"/>
      <c r="T341" s="3"/>
    </row>
    <row r="342" spans="1:20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4"/>
      <c r="K342" s="4"/>
      <c r="L342" s="3"/>
      <c r="M342" s="4"/>
      <c r="N342" s="3"/>
      <c r="O342" s="3"/>
      <c r="P342" s="3"/>
      <c r="Q342" s="3"/>
      <c r="R342" s="3"/>
      <c r="S342" s="3"/>
      <c r="T342" s="3"/>
    </row>
    <row r="343" spans="1:20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4"/>
      <c r="K343" s="4"/>
      <c r="L343" s="3"/>
      <c r="M343" s="4"/>
      <c r="N343" s="3"/>
      <c r="O343" s="3"/>
      <c r="P343" s="3"/>
      <c r="Q343" s="3"/>
      <c r="R343" s="3"/>
      <c r="S343" s="3"/>
      <c r="T343" s="3"/>
    </row>
    <row r="344" spans="1:20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4"/>
      <c r="K344" s="4"/>
      <c r="L344" s="3"/>
      <c r="M344" s="4"/>
      <c r="N344" s="3"/>
      <c r="O344" s="3"/>
      <c r="P344" s="3"/>
      <c r="Q344" s="3"/>
      <c r="R344" s="3"/>
      <c r="S344" s="3"/>
      <c r="T344" s="3"/>
    </row>
    <row r="345" spans="1:20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4"/>
      <c r="K345" s="4"/>
      <c r="L345" s="3"/>
      <c r="M345" s="4"/>
      <c r="N345" s="3"/>
      <c r="O345" s="3"/>
      <c r="P345" s="3"/>
      <c r="Q345" s="3"/>
      <c r="R345" s="3"/>
      <c r="S345" s="3"/>
      <c r="T345" s="3"/>
    </row>
    <row r="346" spans="1:20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4"/>
      <c r="K346" s="4"/>
      <c r="L346" s="3"/>
      <c r="M346" s="4"/>
      <c r="N346" s="3"/>
      <c r="O346" s="3"/>
      <c r="P346" s="3"/>
      <c r="Q346" s="3"/>
      <c r="R346" s="3"/>
      <c r="S346" s="3"/>
      <c r="T346" s="3"/>
    </row>
    <row r="347" spans="1:20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4"/>
      <c r="K347" s="4"/>
      <c r="L347" s="3"/>
      <c r="M347" s="4"/>
      <c r="N347" s="3"/>
      <c r="O347" s="3"/>
      <c r="P347" s="3"/>
      <c r="Q347" s="3"/>
      <c r="R347" s="3"/>
      <c r="S347" s="3"/>
      <c r="T347" s="3"/>
    </row>
    <row r="348" spans="1:20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4"/>
      <c r="K348" s="4"/>
      <c r="L348" s="3"/>
      <c r="M348" s="4"/>
      <c r="N348" s="3"/>
      <c r="O348" s="3"/>
      <c r="P348" s="3"/>
      <c r="Q348" s="3"/>
      <c r="R348" s="3"/>
      <c r="S348" s="3"/>
      <c r="T348" s="3"/>
    </row>
    <row r="349" spans="1:20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4"/>
      <c r="K349" s="4"/>
      <c r="L349" s="3"/>
      <c r="M349" s="4"/>
      <c r="N349" s="3"/>
      <c r="O349" s="3"/>
      <c r="P349" s="3"/>
      <c r="Q349" s="3"/>
      <c r="R349" s="3"/>
      <c r="S349" s="3"/>
      <c r="T349" s="3"/>
    </row>
    <row r="350" spans="1:2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4"/>
      <c r="K350" s="4"/>
      <c r="L350" s="3"/>
      <c r="M350" s="4"/>
      <c r="N350" s="3"/>
      <c r="O350" s="3"/>
      <c r="P350" s="3"/>
      <c r="Q350" s="3"/>
      <c r="R350" s="3"/>
      <c r="S350" s="3"/>
      <c r="T350" s="3"/>
    </row>
    <row r="351" spans="1:20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4"/>
      <c r="K351" s="4"/>
      <c r="L351" s="3"/>
      <c r="M351" s="4"/>
      <c r="N351" s="3"/>
      <c r="O351" s="3"/>
      <c r="P351" s="3"/>
      <c r="Q351" s="3"/>
      <c r="R351" s="3"/>
      <c r="S351" s="3"/>
      <c r="T351" s="3"/>
    </row>
    <row r="352" spans="1:20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4"/>
      <c r="K352" s="4"/>
      <c r="L352" s="3"/>
      <c r="M352" s="4"/>
      <c r="N352" s="3"/>
      <c r="O352" s="3"/>
      <c r="P352" s="3"/>
      <c r="Q352" s="3"/>
      <c r="R352" s="3"/>
      <c r="S352" s="3"/>
      <c r="T352" s="3"/>
    </row>
    <row r="353" spans="1:20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4"/>
      <c r="K353" s="4"/>
      <c r="L353" s="3"/>
      <c r="M353" s="4"/>
      <c r="N353" s="3"/>
      <c r="O353" s="3"/>
      <c r="P353" s="3"/>
      <c r="Q353" s="3"/>
      <c r="R353" s="3"/>
      <c r="S353" s="3"/>
      <c r="T353" s="3"/>
    </row>
    <row r="354" spans="1:20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4"/>
      <c r="K354" s="4"/>
      <c r="L354" s="3"/>
      <c r="M354" s="4"/>
      <c r="N354" s="3"/>
      <c r="O354" s="3"/>
      <c r="P354" s="3"/>
      <c r="Q354" s="3"/>
      <c r="R354" s="3"/>
      <c r="S354" s="3"/>
      <c r="T354" s="3"/>
    </row>
    <row r="355" spans="1:20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4"/>
      <c r="K355" s="4"/>
      <c r="L355" s="3"/>
      <c r="M355" s="4"/>
      <c r="N355" s="3"/>
      <c r="O355" s="3"/>
      <c r="P355" s="3"/>
      <c r="Q355" s="3"/>
      <c r="R355" s="3"/>
      <c r="S355" s="3"/>
      <c r="T355" s="3"/>
    </row>
    <row r="356" spans="1:20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4"/>
      <c r="K356" s="4"/>
      <c r="L356" s="3"/>
      <c r="M356" s="4"/>
      <c r="N356" s="3"/>
      <c r="O356" s="3"/>
      <c r="P356" s="3"/>
      <c r="Q356" s="3"/>
      <c r="R356" s="3"/>
      <c r="S356" s="3"/>
      <c r="T356" s="3"/>
    </row>
    <row r="357" spans="1:20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4"/>
      <c r="K357" s="4"/>
      <c r="L357" s="3"/>
      <c r="M357" s="4"/>
      <c r="N357" s="3"/>
      <c r="O357" s="3"/>
      <c r="P357" s="3"/>
      <c r="Q357" s="3"/>
      <c r="R357" s="3"/>
      <c r="S357" s="3"/>
      <c r="T357" s="3"/>
    </row>
    <row r="358" spans="1:20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4"/>
      <c r="K358" s="4"/>
      <c r="L358" s="3"/>
      <c r="M358" s="4"/>
      <c r="N358" s="3"/>
      <c r="O358" s="3"/>
      <c r="P358" s="3"/>
      <c r="Q358" s="3"/>
      <c r="R358" s="3"/>
      <c r="S358" s="3"/>
      <c r="T358" s="3"/>
    </row>
    <row r="359" spans="1:20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4"/>
      <c r="K359" s="4"/>
      <c r="L359" s="3"/>
      <c r="M359" s="4"/>
      <c r="N359" s="3"/>
      <c r="O359" s="3"/>
      <c r="P359" s="3"/>
      <c r="Q359" s="3"/>
      <c r="R359" s="3"/>
      <c r="S359" s="3"/>
      <c r="T359" s="3"/>
    </row>
    <row r="360" spans="1:2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4"/>
      <c r="K360" s="4"/>
      <c r="L360" s="3"/>
      <c r="M360" s="4"/>
      <c r="N360" s="3"/>
      <c r="O360" s="3"/>
      <c r="P360" s="3"/>
      <c r="Q360" s="3"/>
      <c r="R360" s="3"/>
      <c r="S360" s="3"/>
      <c r="T360" s="3"/>
    </row>
    <row r="361" spans="1:20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4"/>
      <c r="K361" s="4"/>
      <c r="L361" s="3"/>
      <c r="M361" s="4"/>
      <c r="N361" s="3"/>
      <c r="O361" s="3"/>
      <c r="P361" s="3"/>
      <c r="Q361" s="3"/>
      <c r="R361" s="3"/>
      <c r="S361" s="3"/>
      <c r="T361" s="3"/>
    </row>
    <row r="362" spans="1:20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4"/>
      <c r="K362" s="4"/>
      <c r="L362" s="3"/>
      <c r="M362" s="4"/>
      <c r="N362" s="3"/>
      <c r="O362" s="3"/>
      <c r="P362" s="3"/>
      <c r="Q362" s="3"/>
      <c r="R362" s="3"/>
      <c r="S362" s="3"/>
      <c r="T362" s="3"/>
    </row>
    <row r="363" spans="1:20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4"/>
      <c r="K363" s="4"/>
      <c r="L363" s="3"/>
      <c r="M363" s="4"/>
      <c r="N363" s="3"/>
      <c r="O363" s="3"/>
      <c r="P363" s="3"/>
      <c r="Q363" s="3"/>
      <c r="R363" s="3"/>
      <c r="S363" s="3"/>
      <c r="T363" s="3"/>
    </row>
    <row r="364" spans="1:20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4"/>
      <c r="K364" s="4"/>
      <c r="L364" s="3"/>
      <c r="M364" s="4"/>
      <c r="N364" s="3"/>
      <c r="O364" s="3"/>
      <c r="P364" s="3"/>
      <c r="Q364" s="3"/>
      <c r="R364" s="3"/>
      <c r="S364" s="3"/>
      <c r="T364" s="3"/>
    </row>
    <row r="365" spans="1:20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4"/>
      <c r="K365" s="4"/>
      <c r="L365" s="3"/>
      <c r="M365" s="4"/>
      <c r="N365" s="3"/>
      <c r="O365" s="3"/>
      <c r="P365" s="3"/>
      <c r="Q365" s="3"/>
      <c r="R365" s="3"/>
      <c r="S365" s="3"/>
      <c r="T365" s="3"/>
    </row>
    <row r="366" spans="1:20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4"/>
      <c r="K366" s="4"/>
      <c r="L366" s="3"/>
      <c r="M366" s="4"/>
      <c r="N366" s="3"/>
      <c r="O366" s="3"/>
      <c r="P366" s="3"/>
      <c r="Q366" s="3"/>
      <c r="R366" s="3"/>
      <c r="S366" s="3"/>
      <c r="T366" s="3"/>
    </row>
    <row r="367" spans="1:20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4"/>
      <c r="K367" s="4"/>
      <c r="L367" s="3"/>
      <c r="M367" s="4"/>
      <c r="N367" s="3"/>
      <c r="O367" s="3"/>
      <c r="P367" s="3"/>
      <c r="Q367" s="3"/>
      <c r="R367" s="3"/>
      <c r="S367" s="3"/>
      <c r="T367" s="3"/>
    </row>
    <row r="368" spans="1:20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4"/>
      <c r="K368" s="4"/>
      <c r="L368" s="3"/>
      <c r="M368" s="4"/>
      <c r="N368" s="3"/>
      <c r="O368" s="3"/>
      <c r="P368" s="3"/>
      <c r="Q368" s="3"/>
      <c r="R368" s="3"/>
      <c r="S368" s="3"/>
      <c r="T368" s="3"/>
    </row>
    <row r="369" spans="1:20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4"/>
      <c r="K369" s="4"/>
      <c r="L369" s="3"/>
      <c r="M369" s="4"/>
      <c r="N369" s="3"/>
      <c r="O369" s="3"/>
      <c r="P369" s="3"/>
      <c r="Q369" s="3"/>
      <c r="R369" s="3"/>
      <c r="S369" s="3"/>
      <c r="T369" s="3"/>
    </row>
    <row r="370" spans="1:2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4"/>
      <c r="K370" s="4"/>
      <c r="L370" s="3"/>
      <c r="M370" s="4"/>
      <c r="N370" s="3"/>
      <c r="O370" s="3"/>
      <c r="P370" s="3"/>
      <c r="Q370" s="3"/>
      <c r="R370" s="3"/>
      <c r="S370" s="3"/>
      <c r="T370" s="3"/>
    </row>
    <row r="371" spans="1:20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4"/>
      <c r="K371" s="4"/>
      <c r="L371" s="3"/>
      <c r="M371" s="4"/>
      <c r="N371" s="3"/>
      <c r="O371" s="3"/>
      <c r="P371" s="3"/>
      <c r="Q371" s="3"/>
      <c r="R371" s="3"/>
      <c r="S371" s="3"/>
      <c r="T371" s="3"/>
    </row>
    <row r="372" spans="1:20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4"/>
      <c r="K372" s="4"/>
      <c r="L372" s="3"/>
      <c r="M372" s="4"/>
      <c r="N372" s="3"/>
      <c r="O372" s="3"/>
      <c r="P372" s="3"/>
      <c r="Q372" s="3"/>
      <c r="R372" s="3"/>
      <c r="S372" s="3"/>
      <c r="T372" s="3"/>
    </row>
    <row r="373" spans="1:20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4"/>
      <c r="K373" s="4"/>
      <c r="L373" s="3"/>
      <c r="M373" s="4"/>
      <c r="N373" s="3"/>
      <c r="O373" s="3"/>
      <c r="P373" s="3"/>
      <c r="Q373" s="3"/>
      <c r="R373" s="3"/>
      <c r="S373" s="3"/>
      <c r="T373" s="3"/>
    </row>
    <row r="374" spans="1:20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4"/>
      <c r="K374" s="4"/>
      <c r="L374" s="3"/>
      <c r="M374" s="4"/>
      <c r="N374" s="3"/>
      <c r="O374" s="3"/>
      <c r="P374" s="3"/>
      <c r="Q374" s="3"/>
      <c r="R374" s="3"/>
      <c r="S374" s="3"/>
      <c r="T374" s="3"/>
    </row>
    <row r="375" spans="1:20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4"/>
      <c r="K375" s="4"/>
      <c r="L375" s="3"/>
      <c r="M375" s="4"/>
      <c r="N375" s="3"/>
      <c r="O375" s="3"/>
      <c r="P375" s="3"/>
      <c r="Q375" s="3"/>
      <c r="R375" s="3"/>
      <c r="S375" s="3"/>
      <c r="T375" s="3"/>
    </row>
    <row r="376" spans="1:20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4"/>
      <c r="K376" s="4"/>
      <c r="L376" s="3"/>
      <c r="M376" s="4"/>
      <c r="N376" s="3"/>
      <c r="O376" s="3"/>
      <c r="P376" s="3"/>
      <c r="Q376" s="3"/>
      <c r="R376" s="3"/>
      <c r="S376" s="3"/>
      <c r="T376" s="3"/>
    </row>
    <row r="377" spans="1:20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4"/>
      <c r="K377" s="4"/>
      <c r="L377" s="3"/>
      <c r="M377" s="4"/>
      <c r="N377" s="3"/>
      <c r="O377" s="3"/>
      <c r="P377" s="3"/>
      <c r="Q377" s="3"/>
      <c r="R377" s="3"/>
      <c r="S377" s="3"/>
      <c r="T377" s="3"/>
    </row>
    <row r="378" spans="1:20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4"/>
      <c r="K378" s="4"/>
      <c r="L378" s="3"/>
      <c r="M378" s="4"/>
      <c r="N378" s="3"/>
      <c r="O378" s="3"/>
      <c r="P378" s="3"/>
      <c r="Q378" s="3"/>
      <c r="R378" s="3"/>
      <c r="S378" s="3"/>
      <c r="T378" s="3"/>
    </row>
    <row r="379" spans="1:20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4"/>
      <c r="K379" s="4"/>
      <c r="L379" s="3"/>
      <c r="M379" s="4"/>
      <c r="N379" s="3"/>
      <c r="O379" s="3"/>
      <c r="P379" s="3"/>
      <c r="Q379" s="3"/>
      <c r="R379" s="3"/>
      <c r="S379" s="3"/>
      <c r="T379" s="3"/>
    </row>
    <row r="380" spans="1:2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4"/>
      <c r="K380" s="4"/>
      <c r="L380" s="3"/>
      <c r="M380" s="4"/>
      <c r="N380" s="3"/>
      <c r="O380" s="3"/>
      <c r="P380" s="3"/>
      <c r="Q380" s="3"/>
      <c r="R380" s="3"/>
      <c r="S380" s="3"/>
      <c r="T380" s="3"/>
    </row>
    <row r="381" spans="1:20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4"/>
      <c r="K381" s="4"/>
      <c r="L381" s="3"/>
      <c r="M381" s="4"/>
      <c r="N381" s="3"/>
      <c r="O381" s="3"/>
      <c r="P381" s="3"/>
      <c r="Q381" s="3"/>
      <c r="R381" s="3"/>
      <c r="S381" s="3"/>
      <c r="T381" s="3"/>
    </row>
    <row r="382" spans="1:20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4"/>
      <c r="K382" s="4"/>
      <c r="L382" s="3"/>
      <c r="M382" s="4"/>
      <c r="N382" s="3"/>
      <c r="O382" s="3"/>
      <c r="P382" s="3"/>
      <c r="Q382" s="3"/>
      <c r="R382" s="3"/>
      <c r="S382" s="3"/>
      <c r="T382" s="3"/>
    </row>
    <row r="383" spans="1:20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4"/>
      <c r="K383" s="4"/>
      <c r="L383" s="3"/>
      <c r="M383" s="4"/>
      <c r="N383" s="3"/>
      <c r="O383" s="3"/>
      <c r="P383" s="3"/>
      <c r="Q383" s="3"/>
      <c r="R383" s="3"/>
      <c r="S383" s="3"/>
      <c r="T383" s="3"/>
    </row>
    <row r="384" spans="1:20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4"/>
      <c r="K384" s="4"/>
      <c r="L384" s="3"/>
      <c r="M384" s="4"/>
      <c r="N384" s="3"/>
      <c r="O384" s="3"/>
      <c r="P384" s="3"/>
      <c r="Q384" s="3"/>
      <c r="R384" s="3"/>
      <c r="S384" s="3"/>
      <c r="T384" s="3"/>
    </row>
    <row r="385" spans="1:20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4"/>
      <c r="K385" s="4"/>
      <c r="L385" s="3"/>
      <c r="M385" s="4"/>
      <c r="N385" s="3"/>
      <c r="O385" s="3"/>
      <c r="P385" s="3"/>
      <c r="Q385" s="3"/>
      <c r="R385" s="3"/>
      <c r="S385" s="3"/>
      <c r="T385" s="3"/>
    </row>
    <row r="386" spans="1:20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4"/>
      <c r="K386" s="4"/>
      <c r="L386" s="3"/>
      <c r="M386" s="4"/>
      <c r="N386" s="3"/>
      <c r="O386" s="3"/>
      <c r="P386" s="3"/>
      <c r="Q386" s="3"/>
      <c r="R386" s="3"/>
      <c r="S386" s="3"/>
      <c r="T386" s="3"/>
    </row>
    <row r="387" spans="1:20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4"/>
      <c r="K387" s="4"/>
      <c r="L387" s="3"/>
      <c r="M387" s="4"/>
      <c r="N387" s="3"/>
      <c r="O387" s="3"/>
      <c r="P387" s="3"/>
      <c r="Q387" s="3"/>
      <c r="R387" s="3"/>
      <c r="S387" s="3"/>
      <c r="T387" s="3"/>
    </row>
    <row r="388" spans="1:20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4"/>
      <c r="K388" s="4"/>
      <c r="L388" s="3"/>
      <c r="M388" s="4"/>
      <c r="N388" s="3"/>
      <c r="O388" s="3"/>
      <c r="P388" s="3"/>
      <c r="Q388" s="3"/>
      <c r="R388" s="3"/>
      <c r="S388" s="3"/>
      <c r="T388" s="3"/>
    </row>
    <row r="389" spans="1:20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4"/>
      <c r="K389" s="4"/>
      <c r="L389" s="3"/>
      <c r="M389" s="4"/>
      <c r="N389" s="3"/>
      <c r="O389" s="3"/>
      <c r="P389" s="3"/>
      <c r="Q389" s="3"/>
      <c r="R389" s="3"/>
      <c r="S389" s="3"/>
      <c r="T389" s="3"/>
    </row>
    <row r="390" spans="1:2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4"/>
      <c r="K390" s="4"/>
      <c r="L390" s="3"/>
      <c r="M390" s="4"/>
      <c r="N390" s="3"/>
      <c r="O390" s="3"/>
      <c r="P390" s="3"/>
      <c r="Q390" s="3"/>
      <c r="R390" s="3"/>
      <c r="S390" s="3"/>
      <c r="T390" s="3"/>
    </row>
    <row r="391" spans="1:20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4"/>
      <c r="K391" s="4"/>
      <c r="L391" s="3"/>
      <c r="M391" s="4"/>
      <c r="N391" s="3"/>
      <c r="O391" s="3"/>
      <c r="P391" s="3"/>
      <c r="Q391" s="3"/>
      <c r="R391" s="3"/>
      <c r="S391" s="3"/>
      <c r="T391" s="3"/>
    </row>
    <row r="392" spans="1:20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4"/>
      <c r="K392" s="4"/>
      <c r="L392" s="3"/>
      <c r="M392" s="4"/>
      <c r="N392" s="3"/>
      <c r="O392" s="3"/>
      <c r="P392" s="3"/>
      <c r="Q392" s="3"/>
      <c r="R392" s="3"/>
      <c r="S392" s="3"/>
      <c r="T392" s="3"/>
    </row>
    <row r="393" spans="1:20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4"/>
      <c r="K393" s="4"/>
      <c r="L393" s="3"/>
      <c r="M393" s="4"/>
      <c r="N393" s="3"/>
      <c r="O393" s="3"/>
      <c r="P393" s="3"/>
      <c r="Q393" s="3"/>
      <c r="R393" s="3"/>
      <c r="S393" s="3"/>
      <c r="T393" s="3"/>
    </row>
    <row r="394" spans="1:20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4"/>
      <c r="K394" s="4"/>
      <c r="L394" s="3"/>
      <c r="M394" s="4"/>
      <c r="N394" s="3"/>
      <c r="O394" s="3"/>
      <c r="P394" s="3"/>
      <c r="Q394" s="3"/>
      <c r="R394" s="3"/>
      <c r="S394" s="3"/>
      <c r="T394" s="3"/>
    </row>
    <row r="395" spans="1:20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4"/>
      <c r="K395" s="4"/>
      <c r="L395" s="3"/>
      <c r="M395" s="4"/>
      <c r="N395" s="3"/>
      <c r="O395" s="3"/>
      <c r="P395" s="3"/>
      <c r="Q395" s="3"/>
      <c r="R395" s="3"/>
      <c r="S395" s="3"/>
      <c r="T395" s="3"/>
    </row>
    <row r="396" spans="1:20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4"/>
      <c r="K396" s="4"/>
      <c r="L396" s="3"/>
      <c r="M396" s="4"/>
      <c r="N396" s="3"/>
      <c r="O396" s="3"/>
      <c r="P396" s="3"/>
      <c r="Q396" s="3"/>
      <c r="R396" s="3"/>
      <c r="S396" s="3"/>
      <c r="T396" s="3"/>
    </row>
    <row r="397" spans="1:20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4"/>
      <c r="K397" s="4"/>
      <c r="L397" s="3"/>
      <c r="M397" s="4"/>
      <c r="N397" s="3"/>
      <c r="O397" s="3"/>
      <c r="P397" s="3"/>
      <c r="Q397" s="3"/>
      <c r="R397" s="3"/>
      <c r="S397" s="3"/>
      <c r="T397" s="3"/>
    </row>
    <row r="398" spans="1:20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4"/>
      <c r="K398" s="4"/>
      <c r="L398" s="3"/>
      <c r="M398" s="4"/>
      <c r="N398" s="3"/>
      <c r="O398" s="3"/>
      <c r="P398" s="3"/>
      <c r="Q398" s="3"/>
      <c r="R398" s="3"/>
      <c r="S398" s="3"/>
      <c r="T398" s="3"/>
    </row>
    <row r="399" spans="1:20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4"/>
      <c r="K399" s="4"/>
      <c r="L399" s="3"/>
      <c r="M399" s="4"/>
      <c r="N399" s="3"/>
      <c r="O399" s="3"/>
      <c r="P399" s="3"/>
      <c r="Q399" s="3"/>
      <c r="R399" s="3"/>
      <c r="S399" s="3"/>
      <c r="T399" s="3"/>
    </row>
    <row r="400" spans="1:2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4"/>
      <c r="K400" s="4"/>
      <c r="L400" s="3"/>
      <c r="M400" s="4"/>
      <c r="N400" s="3"/>
      <c r="O400" s="3"/>
      <c r="P400" s="3"/>
      <c r="Q400" s="3"/>
      <c r="R400" s="3"/>
      <c r="S400" s="3"/>
      <c r="T400" s="3"/>
    </row>
    <row r="401" spans="1:20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4"/>
      <c r="K401" s="4"/>
      <c r="L401" s="3"/>
      <c r="M401" s="4"/>
      <c r="N401" s="3"/>
      <c r="O401" s="3"/>
      <c r="P401" s="3"/>
      <c r="Q401" s="3"/>
      <c r="R401" s="3"/>
      <c r="S401" s="3"/>
      <c r="T401" s="3"/>
    </row>
    <row r="402" spans="1:20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4"/>
      <c r="K402" s="4"/>
      <c r="L402" s="3"/>
      <c r="M402" s="4"/>
      <c r="N402" s="3"/>
      <c r="O402" s="3"/>
      <c r="P402" s="3"/>
      <c r="Q402" s="3"/>
      <c r="R402" s="3"/>
      <c r="S402" s="3"/>
      <c r="T402" s="3"/>
    </row>
    <row r="403" spans="1:20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4"/>
      <c r="K403" s="4"/>
      <c r="L403" s="3"/>
      <c r="M403" s="4"/>
      <c r="N403" s="3"/>
      <c r="O403" s="3"/>
      <c r="P403" s="3"/>
      <c r="Q403" s="3"/>
      <c r="R403" s="3"/>
      <c r="S403" s="3"/>
      <c r="T403" s="3"/>
    </row>
    <row r="404" spans="1:20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4"/>
      <c r="K404" s="4"/>
      <c r="L404" s="3"/>
      <c r="M404" s="4"/>
      <c r="N404" s="3"/>
      <c r="O404" s="3"/>
      <c r="P404" s="3"/>
      <c r="Q404" s="3"/>
      <c r="R404" s="3"/>
      <c r="S404" s="3"/>
      <c r="T404" s="3"/>
    </row>
    <row r="405" spans="1:20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4"/>
      <c r="K405" s="4"/>
      <c r="L405" s="3"/>
      <c r="M405" s="4"/>
      <c r="N405" s="3"/>
      <c r="O405" s="3"/>
      <c r="P405" s="3"/>
      <c r="Q405" s="3"/>
      <c r="R405" s="3"/>
      <c r="S405" s="3"/>
      <c r="T405" s="3"/>
    </row>
    <row r="406" spans="1:20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4"/>
      <c r="K406" s="4"/>
      <c r="L406" s="3"/>
      <c r="M406" s="4"/>
      <c r="N406" s="3"/>
      <c r="O406" s="3"/>
      <c r="P406" s="3"/>
      <c r="Q406" s="3"/>
      <c r="R406" s="3"/>
      <c r="S406" s="3"/>
      <c r="T406" s="3"/>
    </row>
    <row r="407" spans="1:20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4"/>
      <c r="K407" s="4"/>
      <c r="L407" s="3"/>
      <c r="M407" s="4"/>
      <c r="N407" s="3"/>
      <c r="O407" s="3"/>
      <c r="P407" s="3"/>
      <c r="Q407" s="3"/>
      <c r="R407" s="3"/>
      <c r="S407" s="3"/>
      <c r="T407" s="3"/>
    </row>
    <row r="408" spans="1:20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4"/>
      <c r="K408" s="4"/>
      <c r="L408" s="3"/>
      <c r="M408" s="4"/>
      <c r="N408" s="3"/>
      <c r="O408" s="3"/>
      <c r="P408" s="3"/>
      <c r="Q408" s="3"/>
      <c r="R408" s="3"/>
      <c r="S408" s="3"/>
      <c r="T408" s="3"/>
    </row>
    <row r="409" spans="1:20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4"/>
      <c r="K409" s="4"/>
      <c r="L409" s="3"/>
      <c r="M409" s="4"/>
      <c r="N409" s="3"/>
      <c r="O409" s="3"/>
      <c r="P409" s="3"/>
      <c r="Q409" s="3"/>
      <c r="R409" s="3"/>
      <c r="S409" s="3"/>
      <c r="T409" s="3"/>
    </row>
    <row r="410" spans="1:2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4"/>
      <c r="K410" s="4"/>
      <c r="L410" s="3"/>
      <c r="M410" s="4"/>
      <c r="N410" s="3"/>
      <c r="O410" s="3"/>
      <c r="P410" s="3"/>
      <c r="Q410" s="3"/>
      <c r="R410" s="3"/>
      <c r="S410" s="3"/>
      <c r="T410" s="3"/>
    </row>
    <row r="411" spans="1:20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4"/>
      <c r="K411" s="4"/>
      <c r="L411" s="3"/>
      <c r="M411" s="4"/>
      <c r="N411" s="3"/>
      <c r="O411" s="3"/>
      <c r="P411" s="3"/>
      <c r="Q411" s="3"/>
      <c r="R411" s="3"/>
      <c r="S411" s="3"/>
      <c r="T411" s="3"/>
    </row>
    <row r="412" spans="1:20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4"/>
      <c r="K412" s="4"/>
      <c r="L412" s="3"/>
      <c r="M412" s="4"/>
      <c r="N412" s="3"/>
      <c r="O412" s="3"/>
      <c r="P412" s="3"/>
      <c r="Q412" s="3"/>
      <c r="R412" s="3"/>
      <c r="S412" s="3"/>
      <c r="T412" s="3"/>
    </row>
    <row r="413" spans="1:20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4"/>
      <c r="K413" s="4"/>
      <c r="L413" s="3"/>
      <c r="M413" s="4"/>
      <c r="N413" s="3"/>
      <c r="O413" s="3"/>
      <c r="P413" s="3"/>
      <c r="Q413" s="3"/>
      <c r="R413" s="3"/>
      <c r="S413" s="3"/>
      <c r="T413" s="3"/>
    </row>
    <row r="414" spans="1:20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4"/>
      <c r="K414" s="4"/>
      <c r="L414" s="3"/>
      <c r="M414" s="4"/>
      <c r="N414" s="3"/>
      <c r="O414" s="3"/>
      <c r="P414" s="3"/>
      <c r="Q414" s="3"/>
      <c r="R414" s="3"/>
      <c r="S414" s="3"/>
      <c r="T414" s="3"/>
    </row>
    <row r="415" spans="1:20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4"/>
      <c r="K415" s="4"/>
      <c r="L415" s="3"/>
      <c r="M415" s="4"/>
      <c r="N415" s="3"/>
      <c r="O415" s="3"/>
      <c r="P415" s="3"/>
      <c r="Q415" s="3"/>
      <c r="R415" s="3"/>
      <c r="S415" s="3"/>
      <c r="T415" s="3"/>
    </row>
    <row r="416" spans="1:20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4"/>
      <c r="K416" s="4"/>
      <c r="L416" s="3"/>
      <c r="M416" s="4"/>
      <c r="N416" s="3"/>
      <c r="O416" s="3"/>
      <c r="P416" s="3"/>
      <c r="Q416" s="3"/>
      <c r="R416" s="3"/>
      <c r="S416" s="3"/>
      <c r="T416" s="3"/>
    </row>
    <row r="417" spans="1:20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4"/>
      <c r="K417" s="4"/>
      <c r="L417" s="3"/>
      <c r="M417" s="4"/>
      <c r="N417" s="3"/>
      <c r="O417" s="3"/>
      <c r="P417" s="3"/>
      <c r="Q417" s="3"/>
      <c r="R417" s="3"/>
      <c r="S417" s="3"/>
      <c r="T417" s="3"/>
    </row>
    <row r="418" spans="1:20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4"/>
      <c r="K418" s="4"/>
      <c r="L418" s="3"/>
      <c r="M418" s="4"/>
      <c r="N418" s="3"/>
      <c r="O418" s="3"/>
      <c r="P418" s="3"/>
      <c r="Q418" s="3"/>
      <c r="R418" s="3"/>
      <c r="S418" s="3"/>
      <c r="T418" s="3"/>
    </row>
    <row r="419" spans="1:20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4"/>
      <c r="K419" s="4"/>
      <c r="L419" s="3"/>
      <c r="M419" s="4"/>
      <c r="N419" s="3"/>
      <c r="O419" s="3"/>
      <c r="P419" s="3"/>
      <c r="Q419" s="3"/>
      <c r="R419" s="3"/>
      <c r="S419" s="3"/>
      <c r="T419" s="3"/>
    </row>
    <row r="420" spans="1: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4"/>
      <c r="K420" s="4"/>
      <c r="L420" s="3"/>
      <c r="M420" s="4"/>
      <c r="N420" s="3"/>
      <c r="O420" s="3"/>
      <c r="P420" s="3"/>
      <c r="Q420" s="3"/>
      <c r="R420" s="3"/>
      <c r="S420" s="3"/>
      <c r="T420" s="3"/>
    </row>
    <row r="421" spans="1:20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4"/>
      <c r="K421" s="4"/>
      <c r="L421" s="3"/>
      <c r="M421" s="4"/>
      <c r="N421" s="3"/>
      <c r="O421" s="3"/>
      <c r="P421" s="3"/>
      <c r="Q421" s="3"/>
      <c r="R421" s="3"/>
      <c r="S421" s="3"/>
      <c r="T421" s="3"/>
    </row>
    <row r="422" spans="1:20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4"/>
      <c r="K422" s="4"/>
      <c r="L422" s="3"/>
      <c r="M422" s="4"/>
      <c r="N422" s="3"/>
      <c r="O422" s="3"/>
      <c r="P422" s="3"/>
      <c r="Q422" s="3"/>
      <c r="R422" s="3"/>
      <c r="S422" s="3"/>
      <c r="T422" s="3"/>
    </row>
    <row r="423" spans="1:20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4"/>
      <c r="K423" s="4"/>
      <c r="L423" s="3"/>
      <c r="M423" s="4"/>
      <c r="N423" s="3"/>
      <c r="O423" s="3"/>
      <c r="P423" s="3"/>
      <c r="Q423" s="3"/>
      <c r="R423" s="3"/>
      <c r="S423" s="3"/>
      <c r="T423" s="3"/>
    </row>
    <row r="424" spans="1:20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4"/>
      <c r="K424" s="4"/>
      <c r="L424" s="3"/>
      <c r="M424" s="4"/>
      <c r="N424" s="3"/>
      <c r="O424" s="3"/>
      <c r="P424" s="3"/>
      <c r="Q424" s="3"/>
      <c r="R424" s="3"/>
      <c r="S424" s="3"/>
      <c r="T424" s="3"/>
    </row>
    <row r="425" spans="1:20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4"/>
      <c r="K425" s="4"/>
      <c r="L425" s="3"/>
      <c r="M425" s="4"/>
      <c r="N425" s="3"/>
      <c r="O425" s="3"/>
      <c r="P425" s="3"/>
      <c r="Q425" s="3"/>
      <c r="R425" s="3"/>
      <c r="S425" s="3"/>
      <c r="T425" s="3"/>
    </row>
    <row r="426" spans="1:20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4"/>
      <c r="K426" s="4"/>
      <c r="L426" s="3"/>
      <c r="M426" s="4"/>
      <c r="N426" s="3"/>
      <c r="O426" s="3"/>
      <c r="P426" s="3"/>
      <c r="Q426" s="3"/>
      <c r="R426" s="3"/>
      <c r="S426" s="3"/>
      <c r="T426" s="3"/>
    </row>
    <row r="427" spans="1:20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4"/>
      <c r="K427" s="4"/>
      <c r="L427" s="3"/>
      <c r="M427" s="4"/>
      <c r="N427" s="3"/>
      <c r="O427" s="3"/>
      <c r="P427" s="3"/>
      <c r="Q427" s="3"/>
      <c r="R427" s="3"/>
      <c r="S427" s="3"/>
      <c r="T427" s="3"/>
    </row>
    <row r="428" spans="1:20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4"/>
      <c r="K428" s="4"/>
      <c r="L428" s="3"/>
      <c r="M428" s="4"/>
      <c r="N428" s="3"/>
      <c r="O428" s="3"/>
      <c r="P428" s="3"/>
      <c r="Q428" s="3"/>
      <c r="R428" s="3"/>
      <c r="S428" s="3"/>
      <c r="T428" s="3"/>
    </row>
    <row r="429" spans="1:20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4"/>
      <c r="K429" s="4"/>
      <c r="L429" s="3"/>
      <c r="M429" s="4"/>
      <c r="N429" s="3"/>
      <c r="O429" s="3"/>
      <c r="P429" s="3"/>
      <c r="Q429" s="3"/>
      <c r="R429" s="3"/>
      <c r="S429" s="3"/>
      <c r="T429" s="3"/>
    </row>
    <row r="430" spans="1:2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4"/>
      <c r="K430" s="4"/>
      <c r="L430" s="3"/>
      <c r="M430" s="4"/>
      <c r="N430" s="3"/>
      <c r="O430" s="3"/>
      <c r="P430" s="3"/>
      <c r="Q430" s="3"/>
      <c r="R430" s="3"/>
      <c r="S430" s="3"/>
      <c r="T430" s="3"/>
    </row>
    <row r="431" spans="1:20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4"/>
      <c r="K431" s="4"/>
      <c r="L431" s="3"/>
      <c r="M431" s="4"/>
      <c r="N431" s="3"/>
      <c r="O431" s="3"/>
      <c r="P431" s="3"/>
      <c r="Q431" s="3"/>
      <c r="R431" s="3"/>
      <c r="S431" s="3"/>
      <c r="T431" s="3"/>
    </row>
    <row r="432" spans="1:20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4"/>
      <c r="K432" s="4"/>
      <c r="L432" s="3"/>
      <c r="M432" s="4"/>
      <c r="N432" s="3"/>
      <c r="O432" s="3"/>
      <c r="P432" s="3"/>
      <c r="Q432" s="3"/>
      <c r="R432" s="3"/>
      <c r="S432" s="3"/>
      <c r="T432" s="3"/>
    </row>
    <row r="433" spans="1:20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4"/>
      <c r="K433" s="4"/>
      <c r="L433" s="3"/>
      <c r="M433" s="4"/>
      <c r="N433" s="3"/>
      <c r="O433" s="3"/>
      <c r="P433" s="3"/>
      <c r="Q433" s="3"/>
      <c r="R433" s="3"/>
      <c r="S433" s="3"/>
      <c r="T433" s="3"/>
    </row>
    <row r="434" spans="1:20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4"/>
      <c r="K434" s="4"/>
      <c r="L434" s="3"/>
      <c r="M434" s="4"/>
      <c r="N434" s="3"/>
      <c r="O434" s="3"/>
      <c r="P434" s="3"/>
      <c r="Q434" s="3"/>
      <c r="R434" s="3"/>
      <c r="S434" s="3"/>
      <c r="T434" s="3"/>
    </row>
    <row r="435" spans="1:20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4"/>
      <c r="K435" s="4"/>
      <c r="L435" s="3"/>
      <c r="M435" s="4"/>
      <c r="N435" s="3"/>
      <c r="O435" s="3"/>
      <c r="P435" s="3"/>
      <c r="Q435" s="3"/>
      <c r="R435" s="3"/>
      <c r="S435" s="3"/>
      <c r="T435" s="3"/>
    </row>
    <row r="436" spans="1:20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4"/>
      <c r="K436" s="4"/>
      <c r="L436" s="3"/>
      <c r="M436" s="4"/>
      <c r="N436" s="3"/>
      <c r="O436" s="3"/>
      <c r="P436" s="3"/>
      <c r="Q436" s="3"/>
      <c r="R436" s="3"/>
      <c r="S436" s="3"/>
      <c r="T436" s="3"/>
    </row>
    <row r="437" spans="1:20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4"/>
      <c r="K437" s="4"/>
      <c r="L437" s="3"/>
      <c r="M437" s="4"/>
      <c r="N437" s="3"/>
      <c r="O437" s="3"/>
      <c r="P437" s="3"/>
      <c r="Q437" s="3"/>
      <c r="R437" s="3"/>
      <c r="S437" s="3"/>
      <c r="T437" s="3"/>
    </row>
    <row r="438" spans="1:20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4"/>
      <c r="K438" s="4"/>
      <c r="L438" s="3"/>
      <c r="M438" s="4"/>
      <c r="N438" s="3"/>
      <c r="O438" s="3"/>
      <c r="P438" s="3"/>
      <c r="Q438" s="3"/>
      <c r="R438" s="3"/>
      <c r="S438" s="3"/>
      <c r="T438" s="3"/>
    </row>
    <row r="439" spans="1:20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4"/>
      <c r="K439" s="4"/>
      <c r="L439" s="3"/>
      <c r="M439" s="4"/>
      <c r="N439" s="3"/>
      <c r="O439" s="3"/>
      <c r="P439" s="3"/>
      <c r="Q439" s="3"/>
      <c r="R439" s="3"/>
      <c r="S439" s="3"/>
      <c r="T439" s="3"/>
    </row>
    <row r="440" spans="1:2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4"/>
      <c r="K440" s="4"/>
      <c r="L440" s="3"/>
      <c r="M440" s="4"/>
      <c r="N440" s="3"/>
      <c r="O440" s="3"/>
      <c r="P440" s="3"/>
      <c r="Q440" s="3"/>
      <c r="R440" s="3"/>
      <c r="S440" s="3"/>
      <c r="T440" s="3"/>
    </row>
    <row r="441" spans="1:20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4"/>
      <c r="K441" s="4"/>
      <c r="L441" s="3"/>
      <c r="M441" s="4"/>
      <c r="N441" s="3"/>
      <c r="O441" s="3"/>
      <c r="P441" s="3"/>
      <c r="Q441" s="3"/>
      <c r="R441" s="3"/>
      <c r="S441" s="3"/>
      <c r="T441" s="3"/>
    </row>
    <row r="442" spans="1:20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4"/>
      <c r="K442" s="4"/>
      <c r="L442" s="3"/>
      <c r="M442" s="4"/>
      <c r="N442" s="3"/>
      <c r="O442" s="3"/>
      <c r="P442" s="3"/>
      <c r="Q442" s="3"/>
      <c r="R442" s="3"/>
      <c r="S442" s="3"/>
      <c r="T442" s="3"/>
    </row>
    <row r="443" spans="1:20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4"/>
      <c r="K443" s="4"/>
      <c r="L443" s="3"/>
      <c r="M443" s="4"/>
      <c r="N443" s="3"/>
      <c r="O443" s="3"/>
      <c r="P443" s="3"/>
      <c r="Q443" s="3"/>
      <c r="R443" s="3"/>
      <c r="S443" s="3"/>
      <c r="T443" s="3"/>
    </row>
    <row r="444" spans="1:20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4"/>
      <c r="K444" s="4"/>
      <c r="L444" s="3"/>
      <c r="M444" s="4"/>
      <c r="N444" s="3"/>
      <c r="O444" s="3"/>
      <c r="P444" s="3"/>
      <c r="Q444" s="3"/>
      <c r="R444" s="3"/>
      <c r="S444" s="3"/>
      <c r="T444" s="3"/>
    </row>
    <row r="445" spans="1:20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4"/>
      <c r="K445" s="4"/>
      <c r="L445" s="3"/>
      <c r="M445" s="4"/>
      <c r="N445" s="3"/>
      <c r="O445" s="3"/>
      <c r="P445" s="3"/>
      <c r="Q445" s="3"/>
      <c r="R445" s="3"/>
      <c r="S445" s="3"/>
      <c r="T445" s="3"/>
    </row>
    <row r="446" spans="1:20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4"/>
      <c r="K446" s="4"/>
      <c r="L446" s="3"/>
      <c r="M446" s="4"/>
      <c r="N446" s="3"/>
      <c r="O446" s="3"/>
      <c r="P446" s="3"/>
      <c r="Q446" s="3"/>
      <c r="R446" s="3"/>
      <c r="S446" s="3"/>
      <c r="T446" s="3"/>
    </row>
    <row r="447" spans="1:20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4"/>
      <c r="K447" s="4"/>
      <c r="L447" s="3"/>
      <c r="M447" s="4"/>
      <c r="N447" s="3"/>
      <c r="O447" s="3"/>
      <c r="P447" s="3"/>
      <c r="Q447" s="3"/>
      <c r="R447" s="3"/>
      <c r="S447" s="3"/>
      <c r="T447" s="3"/>
    </row>
    <row r="448" spans="1:20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4"/>
      <c r="K448" s="4"/>
      <c r="L448" s="3"/>
      <c r="M448" s="4"/>
      <c r="N448" s="3"/>
      <c r="O448" s="3"/>
      <c r="P448" s="3"/>
      <c r="Q448" s="3"/>
      <c r="R448" s="3"/>
      <c r="S448" s="3"/>
      <c r="T448" s="3"/>
    </row>
    <row r="449" spans="1:20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4"/>
      <c r="K449" s="4"/>
      <c r="L449" s="3"/>
      <c r="M449" s="4"/>
      <c r="N449" s="3"/>
      <c r="O449" s="3"/>
      <c r="P449" s="3"/>
      <c r="Q449" s="3"/>
      <c r="R449" s="3"/>
      <c r="S449" s="3"/>
      <c r="T449" s="3"/>
    </row>
    <row r="450" spans="1:2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4"/>
      <c r="K450" s="4"/>
      <c r="L450" s="3"/>
      <c r="M450" s="4"/>
      <c r="N450" s="3"/>
      <c r="O450" s="3"/>
      <c r="P450" s="3"/>
      <c r="Q450" s="3"/>
      <c r="R450" s="3"/>
      <c r="S450" s="3"/>
      <c r="T450" s="3"/>
    </row>
    <row r="451" spans="1:20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4"/>
      <c r="K451" s="4"/>
      <c r="L451" s="3"/>
      <c r="M451" s="4"/>
      <c r="N451" s="3"/>
      <c r="O451" s="3"/>
      <c r="P451" s="3"/>
      <c r="Q451" s="3"/>
      <c r="R451" s="3"/>
      <c r="S451" s="3"/>
      <c r="T451" s="3"/>
    </row>
    <row r="452" spans="1:20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4"/>
      <c r="K452" s="4"/>
      <c r="L452" s="3"/>
      <c r="M452" s="4"/>
      <c r="N452" s="3"/>
      <c r="O452" s="3"/>
      <c r="P452" s="3"/>
      <c r="Q452" s="3"/>
      <c r="R452" s="3"/>
      <c r="S452" s="3"/>
      <c r="T452" s="3"/>
    </row>
    <row r="453" spans="1:20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4"/>
      <c r="K453" s="4"/>
      <c r="L453" s="3"/>
      <c r="M453" s="4"/>
      <c r="N453" s="3"/>
      <c r="O453" s="3"/>
      <c r="P453" s="3"/>
      <c r="Q453" s="3"/>
      <c r="R453" s="3"/>
      <c r="S453" s="3"/>
      <c r="T453" s="3"/>
    </row>
    <row r="454" spans="1:20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4"/>
      <c r="K454" s="4"/>
      <c r="L454" s="3"/>
      <c r="M454" s="4"/>
      <c r="N454" s="3"/>
      <c r="O454" s="3"/>
      <c r="P454" s="3"/>
      <c r="Q454" s="3"/>
      <c r="R454" s="3"/>
      <c r="S454" s="3"/>
      <c r="T454" s="3"/>
    </row>
    <row r="455" spans="1:20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4"/>
      <c r="K455" s="4"/>
      <c r="L455" s="3"/>
      <c r="M455" s="4"/>
      <c r="N455" s="3"/>
      <c r="O455" s="3"/>
      <c r="P455" s="3"/>
      <c r="Q455" s="3"/>
      <c r="R455" s="3"/>
      <c r="S455" s="3"/>
      <c r="T455" s="3"/>
    </row>
    <row r="456" spans="1:20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4"/>
      <c r="K456" s="4"/>
      <c r="L456" s="3"/>
      <c r="M456" s="4"/>
      <c r="N456" s="3"/>
      <c r="O456" s="3"/>
      <c r="P456" s="3"/>
      <c r="Q456" s="3"/>
      <c r="R456" s="3"/>
      <c r="S456" s="3"/>
      <c r="T456" s="3"/>
    </row>
    <row r="457" spans="1:20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4"/>
      <c r="K457" s="4"/>
      <c r="L457" s="3"/>
      <c r="M457" s="4"/>
      <c r="N457" s="3"/>
      <c r="O457" s="3"/>
      <c r="P457" s="3"/>
      <c r="Q457" s="3"/>
      <c r="R457" s="3"/>
      <c r="S457" s="3"/>
      <c r="T457" s="3"/>
    </row>
    <row r="458" spans="1:20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4"/>
      <c r="K458" s="4"/>
      <c r="L458" s="3"/>
      <c r="M458" s="4"/>
      <c r="N458" s="3"/>
      <c r="O458" s="3"/>
      <c r="P458" s="3"/>
      <c r="Q458" s="3"/>
      <c r="R458" s="3"/>
      <c r="S458" s="3"/>
      <c r="T458" s="3"/>
    </row>
    <row r="459" spans="1:20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4"/>
      <c r="K459" s="4"/>
      <c r="L459" s="3"/>
      <c r="M459" s="4"/>
      <c r="N459" s="3"/>
      <c r="O459" s="3"/>
      <c r="P459" s="3"/>
      <c r="Q459" s="3"/>
      <c r="R459" s="3"/>
      <c r="S459" s="3"/>
      <c r="T459" s="3"/>
    </row>
    <row r="460" spans="1:2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4"/>
      <c r="K460" s="4"/>
      <c r="L460" s="3"/>
      <c r="M460" s="4"/>
      <c r="N460" s="3"/>
      <c r="O460" s="3"/>
      <c r="P460" s="3"/>
      <c r="Q460" s="3"/>
      <c r="R460" s="3"/>
      <c r="S460" s="3"/>
      <c r="T460" s="3"/>
    </row>
    <row r="461" spans="1:20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4"/>
      <c r="K461" s="4"/>
      <c r="L461" s="3"/>
      <c r="M461" s="4"/>
      <c r="N461" s="3"/>
      <c r="O461" s="3"/>
      <c r="P461" s="3"/>
      <c r="Q461" s="3"/>
      <c r="R461" s="3"/>
      <c r="S461" s="3"/>
      <c r="T461" s="3"/>
    </row>
    <row r="462" spans="1:20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4"/>
      <c r="K462" s="4"/>
      <c r="L462" s="3"/>
      <c r="M462" s="4"/>
      <c r="N462" s="3"/>
      <c r="O462" s="3"/>
      <c r="P462" s="3"/>
      <c r="Q462" s="3"/>
      <c r="R462" s="3"/>
      <c r="S462" s="3"/>
      <c r="T462" s="3"/>
    </row>
    <row r="463" spans="1:20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4"/>
      <c r="K463" s="4"/>
      <c r="L463" s="3"/>
      <c r="M463" s="4"/>
      <c r="N463" s="3"/>
      <c r="O463" s="3"/>
      <c r="P463" s="3"/>
      <c r="Q463" s="3"/>
      <c r="R463" s="3"/>
      <c r="S463" s="3"/>
      <c r="T463" s="3"/>
    </row>
    <row r="464" spans="1:20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4"/>
      <c r="K464" s="4"/>
      <c r="L464" s="3"/>
      <c r="M464" s="4"/>
      <c r="N464" s="3"/>
      <c r="O464" s="3"/>
      <c r="P464" s="3"/>
      <c r="Q464" s="3"/>
      <c r="R464" s="3"/>
      <c r="S464" s="3"/>
      <c r="T464" s="3"/>
    </row>
    <row r="465" spans="1:20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4"/>
      <c r="K465" s="4"/>
      <c r="L465" s="3"/>
      <c r="M465" s="4"/>
      <c r="N465" s="3"/>
      <c r="O465" s="3"/>
      <c r="P465" s="3"/>
      <c r="Q465" s="3"/>
      <c r="R465" s="3"/>
      <c r="S465" s="3"/>
      <c r="T465" s="3"/>
    </row>
    <row r="466" spans="1:20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4"/>
      <c r="K466" s="4"/>
      <c r="L466" s="3"/>
      <c r="M466" s="4"/>
      <c r="N466" s="3"/>
      <c r="O466" s="3"/>
      <c r="P466" s="3"/>
      <c r="Q466" s="3"/>
      <c r="R466" s="3"/>
      <c r="S466" s="3"/>
      <c r="T466" s="3"/>
    </row>
    <row r="467" spans="1:20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4"/>
      <c r="K467" s="4"/>
      <c r="L467" s="3"/>
      <c r="M467" s="4"/>
      <c r="N467" s="3"/>
      <c r="O467" s="3"/>
      <c r="P467" s="3"/>
      <c r="Q467" s="3"/>
      <c r="R467" s="3"/>
      <c r="S467" s="3"/>
      <c r="T467" s="3"/>
    </row>
    <row r="468" spans="1:20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4"/>
      <c r="K468" s="4"/>
      <c r="L468" s="3"/>
      <c r="M468" s="4"/>
      <c r="N468" s="3"/>
      <c r="O468" s="3"/>
      <c r="P468" s="3"/>
      <c r="Q468" s="3"/>
      <c r="R468" s="3"/>
      <c r="S468" s="3"/>
      <c r="T468" s="3"/>
    </row>
    <row r="469" spans="1:20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4"/>
      <c r="K469" s="4"/>
      <c r="L469" s="3"/>
      <c r="M469" s="4"/>
      <c r="N469" s="3"/>
      <c r="O469" s="3"/>
      <c r="P469" s="3"/>
      <c r="Q469" s="3"/>
      <c r="R469" s="3"/>
      <c r="S469" s="3"/>
      <c r="T469" s="3"/>
    </row>
    <row r="470" spans="1:2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4"/>
      <c r="K470" s="4"/>
      <c r="L470" s="3"/>
      <c r="M470" s="4"/>
      <c r="N470" s="3"/>
      <c r="O470" s="3"/>
      <c r="P470" s="3"/>
      <c r="Q470" s="3"/>
      <c r="R470" s="3"/>
      <c r="S470" s="3"/>
      <c r="T470" s="3"/>
    </row>
    <row r="471" spans="1:20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4"/>
      <c r="K471" s="4"/>
      <c r="L471" s="3"/>
      <c r="M471" s="4"/>
      <c r="N471" s="3"/>
      <c r="O471" s="3"/>
      <c r="P471" s="3"/>
      <c r="Q471" s="3"/>
      <c r="R471" s="3"/>
      <c r="S471" s="3"/>
      <c r="T471" s="3"/>
    </row>
    <row r="472" spans="1:20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4"/>
      <c r="K472" s="4"/>
      <c r="L472" s="3"/>
      <c r="M472" s="4"/>
      <c r="N472" s="3"/>
      <c r="O472" s="3"/>
      <c r="P472" s="3"/>
      <c r="Q472" s="3"/>
      <c r="R472" s="3"/>
      <c r="S472" s="3"/>
      <c r="T472" s="3"/>
    </row>
    <row r="473" spans="1:20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4"/>
      <c r="K473" s="4"/>
      <c r="L473" s="3"/>
      <c r="M473" s="4"/>
      <c r="N473" s="3"/>
      <c r="O473" s="3"/>
      <c r="P473" s="3"/>
      <c r="Q473" s="3"/>
      <c r="R473" s="3"/>
      <c r="S473" s="3"/>
      <c r="T473" s="3"/>
    </row>
    <row r="474" spans="1:20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4"/>
      <c r="K474" s="4"/>
      <c r="L474" s="3"/>
      <c r="M474" s="4"/>
      <c r="N474" s="3"/>
      <c r="O474" s="3"/>
      <c r="P474" s="3"/>
      <c r="Q474" s="3"/>
      <c r="R474" s="3"/>
      <c r="S474" s="3"/>
      <c r="T474" s="3"/>
    </row>
    <row r="475" spans="1:20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4"/>
      <c r="K475" s="4"/>
      <c r="L475" s="3"/>
      <c r="M475" s="4"/>
      <c r="N475" s="3"/>
      <c r="O475" s="3"/>
      <c r="P475" s="3"/>
      <c r="Q475" s="3"/>
      <c r="R475" s="3"/>
      <c r="S475" s="3"/>
      <c r="T475" s="3"/>
    </row>
    <row r="476" spans="1:20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4"/>
      <c r="K476" s="4"/>
      <c r="L476" s="3"/>
      <c r="M476" s="4"/>
      <c r="N476" s="3"/>
      <c r="O476" s="3"/>
      <c r="P476" s="3"/>
      <c r="Q476" s="3"/>
      <c r="R476" s="3"/>
      <c r="S476" s="3"/>
      <c r="T476" s="3"/>
    </row>
    <row r="477" spans="1:20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4"/>
      <c r="K477" s="4"/>
      <c r="L477" s="3"/>
      <c r="M477" s="4"/>
      <c r="N477" s="3"/>
      <c r="O477" s="3"/>
      <c r="P477" s="3"/>
      <c r="Q477" s="3"/>
      <c r="R477" s="3"/>
      <c r="S477" s="3"/>
      <c r="T477" s="3"/>
    </row>
    <row r="478" spans="1:20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4"/>
      <c r="K478" s="4"/>
      <c r="L478" s="3"/>
      <c r="M478" s="4"/>
      <c r="N478" s="3"/>
      <c r="O478" s="3"/>
      <c r="P478" s="3"/>
      <c r="Q478" s="3"/>
      <c r="R478" s="3"/>
      <c r="S478" s="3"/>
      <c r="T478" s="3"/>
    </row>
    <row r="479" spans="1:20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4"/>
      <c r="K479" s="4"/>
      <c r="L479" s="3"/>
      <c r="M479" s="4"/>
      <c r="N479" s="3"/>
      <c r="O479" s="3"/>
      <c r="P479" s="3"/>
      <c r="Q479" s="3"/>
      <c r="R479" s="3"/>
      <c r="S479" s="3"/>
      <c r="T479" s="3"/>
    </row>
    <row r="480" spans="1:2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4"/>
      <c r="K480" s="4"/>
      <c r="L480" s="3"/>
      <c r="M480" s="4"/>
      <c r="N480" s="3"/>
      <c r="O480" s="3"/>
      <c r="P480" s="3"/>
      <c r="Q480" s="3"/>
      <c r="R480" s="3"/>
      <c r="S480" s="3"/>
      <c r="T480" s="3"/>
    </row>
    <row r="481" spans="1:20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4"/>
      <c r="K481" s="4"/>
      <c r="L481" s="3"/>
      <c r="M481" s="4"/>
      <c r="N481" s="3"/>
      <c r="O481" s="3"/>
      <c r="P481" s="3"/>
      <c r="Q481" s="3"/>
      <c r="R481" s="3"/>
      <c r="S481" s="3"/>
      <c r="T481" s="3"/>
    </row>
    <row r="482" spans="1:20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4"/>
      <c r="K482" s="4"/>
      <c r="L482" s="3"/>
      <c r="M482" s="4"/>
      <c r="N482" s="3"/>
      <c r="O482" s="3"/>
      <c r="P482" s="3"/>
      <c r="Q482" s="3"/>
      <c r="R482" s="3"/>
      <c r="S482" s="3"/>
      <c r="T482" s="3"/>
    </row>
    <row r="483" spans="1:20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4"/>
      <c r="K483" s="4"/>
      <c r="L483" s="3"/>
      <c r="M483" s="4"/>
      <c r="N483" s="3"/>
      <c r="O483" s="3"/>
      <c r="P483" s="3"/>
      <c r="Q483" s="3"/>
      <c r="R483" s="3"/>
      <c r="S483" s="3"/>
      <c r="T483" s="3"/>
    </row>
    <row r="484" spans="1:20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4"/>
      <c r="K484" s="4"/>
      <c r="L484" s="3"/>
      <c r="M484" s="4"/>
      <c r="N484" s="3"/>
      <c r="O484" s="3"/>
      <c r="P484" s="3"/>
      <c r="Q484" s="3"/>
      <c r="R484" s="3"/>
      <c r="S484" s="3"/>
      <c r="T484" s="3"/>
    </row>
    <row r="485" spans="1:20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4"/>
      <c r="K485" s="4"/>
      <c r="L485" s="3"/>
      <c r="M485" s="4"/>
      <c r="N485" s="3"/>
      <c r="O485" s="3"/>
      <c r="P485" s="3"/>
      <c r="Q485" s="3"/>
      <c r="R485" s="3"/>
      <c r="S485" s="3"/>
      <c r="T485" s="3"/>
    </row>
    <row r="486" spans="1:20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4"/>
      <c r="K486" s="4"/>
      <c r="L486" s="3"/>
      <c r="M486" s="4"/>
      <c r="N486" s="3"/>
      <c r="O486" s="3"/>
      <c r="P486" s="3"/>
      <c r="Q486" s="3"/>
      <c r="R486" s="3"/>
      <c r="S486" s="3"/>
      <c r="T486" s="3"/>
    </row>
    <row r="487" spans="1:20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4"/>
      <c r="K487" s="4"/>
      <c r="L487" s="3"/>
      <c r="M487" s="4"/>
      <c r="N487" s="3"/>
      <c r="O487" s="3"/>
      <c r="P487" s="3"/>
      <c r="Q487" s="3"/>
      <c r="R487" s="3"/>
      <c r="S487" s="3"/>
      <c r="T487" s="3"/>
    </row>
    <row r="488" spans="1:20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4"/>
      <c r="K488" s="4"/>
      <c r="L488" s="3"/>
      <c r="M488" s="4"/>
      <c r="N488" s="3"/>
      <c r="O488" s="3"/>
      <c r="P488" s="3"/>
      <c r="Q488" s="3"/>
      <c r="R488" s="3"/>
      <c r="S488" s="3"/>
      <c r="T488" s="3"/>
    </row>
    <row r="489" spans="1:20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4"/>
      <c r="K489" s="4"/>
      <c r="L489" s="3"/>
      <c r="M489" s="4"/>
      <c r="N489" s="3"/>
      <c r="O489" s="3"/>
      <c r="P489" s="3"/>
      <c r="Q489" s="3"/>
      <c r="R489" s="3"/>
      <c r="S489" s="3"/>
      <c r="T489" s="3"/>
    </row>
    <row r="490" spans="1:2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4"/>
      <c r="K490" s="4"/>
      <c r="L490" s="3"/>
      <c r="M490" s="4"/>
      <c r="N490" s="3"/>
      <c r="O490" s="3"/>
      <c r="P490" s="3"/>
      <c r="Q490" s="3"/>
      <c r="R490" s="3"/>
      <c r="S490" s="3"/>
      <c r="T490" s="3"/>
    </row>
    <row r="491" spans="1:20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4"/>
      <c r="K491" s="4"/>
      <c r="L491" s="3"/>
      <c r="M491" s="4"/>
      <c r="N491" s="3"/>
      <c r="O491" s="3"/>
      <c r="P491" s="3"/>
      <c r="Q491" s="3"/>
      <c r="R491" s="3"/>
      <c r="S491" s="3"/>
      <c r="T491" s="3"/>
    </row>
    <row r="492" spans="1:20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4"/>
      <c r="K492" s="4"/>
      <c r="L492" s="3"/>
      <c r="M492" s="4"/>
      <c r="N492" s="3"/>
      <c r="O492" s="3"/>
      <c r="P492" s="3"/>
      <c r="Q492" s="3"/>
      <c r="R492" s="3"/>
      <c r="S492" s="3"/>
      <c r="T492" s="3"/>
    </row>
    <row r="493" spans="1:20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4"/>
      <c r="K493" s="4"/>
      <c r="L493" s="3"/>
      <c r="M493" s="4"/>
      <c r="N493" s="3"/>
      <c r="O493" s="3"/>
      <c r="P493" s="3"/>
      <c r="Q493" s="3"/>
      <c r="R493" s="3"/>
      <c r="S493" s="3"/>
      <c r="T493" s="3"/>
    </row>
    <row r="494" spans="1:20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4"/>
      <c r="K494" s="4"/>
      <c r="L494" s="3"/>
      <c r="M494" s="4"/>
      <c r="N494" s="3"/>
      <c r="O494" s="3"/>
      <c r="P494" s="3"/>
      <c r="Q494" s="3"/>
      <c r="R494" s="3"/>
      <c r="S494" s="3"/>
      <c r="T494" s="3"/>
    </row>
    <row r="495" spans="1:20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4"/>
      <c r="K495" s="4"/>
      <c r="L495" s="3"/>
      <c r="M495" s="4"/>
      <c r="N495" s="3"/>
      <c r="O495" s="3"/>
      <c r="P495" s="3"/>
      <c r="Q495" s="3"/>
      <c r="R495" s="3"/>
      <c r="S495" s="3"/>
      <c r="T495" s="3"/>
    </row>
    <row r="496" spans="1:20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4"/>
      <c r="K496" s="4"/>
      <c r="L496" s="3"/>
      <c r="M496" s="4"/>
      <c r="N496" s="3"/>
      <c r="O496" s="3"/>
      <c r="P496" s="3"/>
      <c r="Q496" s="3"/>
      <c r="R496" s="3"/>
      <c r="S496" s="3"/>
      <c r="T496" s="3"/>
    </row>
    <row r="497" spans="10:13" ht="15.75" customHeight="1">
      <c r="J497" s="2"/>
      <c r="K497" s="2"/>
      <c r="M497" s="2"/>
    </row>
    <row r="498" spans="10:13" ht="15.75" customHeight="1">
      <c r="J498" s="2"/>
      <c r="K498" s="2"/>
      <c r="M498" s="2"/>
    </row>
    <row r="499" spans="10:13" ht="15.75" customHeight="1">
      <c r="J499" s="2"/>
      <c r="K499" s="2"/>
      <c r="M499" s="2"/>
    </row>
    <row r="500" spans="10:13" ht="15.75" customHeight="1">
      <c r="J500" s="2"/>
      <c r="K500" s="2"/>
      <c r="M500" s="2"/>
    </row>
    <row r="501" spans="10:13" ht="15.75" customHeight="1">
      <c r="J501" s="2"/>
      <c r="K501" s="2"/>
      <c r="M501" s="2"/>
    </row>
    <row r="502" spans="10:13" ht="15.75" customHeight="1">
      <c r="J502" s="2"/>
      <c r="K502" s="2"/>
      <c r="M502" s="2"/>
    </row>
    <row r="503" spans="10:13" ht="15.75" customHeight="1">
      <c r="J503" s="2"/>
      <c r="K503" s="2"/>
      <c r="M503" s="2"/>
    </row>
    <row r="504" spans="10:13" ht="15.75" customHeight="1">
      <c r="J504" s="2"/>
      <c r="K504" s="2"/>
      <c r="M504" s="2"/>
    </row>
    <row r="505" spans="10:13" ht="15.75" customHeight="1">
      <c r="J505" s="2"/>
      <c r="K505" s="2"/>
      <c r="M505" s="2"/>
    </row>
    <row r="506" spans="10:13" ht="15.75" customHeight="1">
      <c r="J506" s="2"/>
      <c r="K506" s="2"/>
      <c r="M506" s="2"/>
    </row>
    <row r="507" spans="10:13" ht="15.75" customHeight="1">
      <c r="J507" s="2"/>
      <c r="K507" s="2"/>
      <c r="M507" s="2"/>
    </row>
    <row r="508" spans="10:13" ht="15.75" customHeight="1">
      <c r="J508" s="2"/>
      <c r="K508" s="2"/>
      <c r="M508" s="2"/>
    </row>
    <row r="509" spans="10:13" ht="15.75" customHeight="1">
      <c r="J509" s="2"/>
      <c r="K509" s="2"/>
      <c r="M509" s="2"/>
    </row>
    <row r="510" spans="10:13" ht="15.75" customHeight="1">
      <c r="J510" s="2"/>
      <c r="K510" s="2"/>
      <c r="M510" s="2"/>
    </row>
    <row r="511" spans="10:13" ht="15.75" customHeight="1">
      <c r="J511" s="2"/>
      <c r="K511" s="2"/>
      <c r="M511" s="2"/>
    </row>
    <row r="512" spans="10:13" ht="15.75" customHeight="1">
      <c r="J512" s="2"/>
      <c r="K512" s="2"/>
      <c r="M512" s="2"/>
    </row>
    <row r="513" spans="10:13" ht="15.75" customHeight="1">
      <c r="J513" s="2"/>
      <c r="K513" s="2"/>
      <c r="M513" s="2"/>
    </row>
    <row r="514" spans="10:13" ht="15.75" customHeight="1">
      <c r="J514" s="2"/>
      <c r="K514" s="2"/>
      <c r="M514" s="2"/>
    </row>
    <row r="515" spans="10:13" ht="15.75" customHeight="1">
      <c r="J515" s="2"/>
      <c r="K515" s="2"/>
      <c r="M515" s="2"/>
    </row>
    <row r="516" spans="10:13" ht="15.75" customHeight="1">
      <c r="J516" s="2"/>
      <c r="K516" s="2"/>
      <c r="M516" s="2"/>
    </row>
    <row r="517" spans="10:13" ht="15.75" customHeight="1">
      <c r="J517" s="2"/>
      <c r="K517" s="2"/>
      <c r="M517" s="2"/>
    </row>
    <row r="518" spans="10:13" ht="15.75" customHeight="1">
      <c r="J518" s="2"/>
      <c r="K518" s="2"/>
      <c r="M518" s="2"/>
    </row>
    <row r="519" spans="10:13" ht="15.75" customHeight="1">
      <c r="J519" s="2"/>
      <c r="K519" s="2"/>
      <c r="M519" s="2"/>
    </row>
    <row r="520" spans="10:13" ht="15.75" customHeight="1">
      <c r="J520" s="2"/>
      <c r="K520" s="2"/>
      <c r="M520" s="2"/>
    </row>
    <row r="521" spans="10:13" ht="15.75" customHeight="1">
      <c r="J521" s="2"/>
      <c r="K521" s="2"/>
      <c r="M521" s="2"/>
    </row>
    <row r="522" spans="10:13" ht="15.75" customHeight="1">
      <c r="J522" s="2"/>
      <c r="K522" s="2"/>
      <c r="M522" s="2"/>
    </row>
    <row r="523" spans="10:13" ht="15.75" customHeight="1">
      <c r="J523" s="2"/>
      <c r="K523" s="2"/>
      <c r="M523" s="2"/>
    </row>
    <row r="524" spans="10:13" ht="15.75" customHeight="1">
      <c r="J524" s="2"/>
      <c r="K524" s="2"/>
      <c r="M524" s="2"/>
    </row>
    <row r="525" spans="10:13" ht="15.75" customHeight="1">
      <c r="J525" s="2"/>
      <c r="K525" s="2"/>
      <c r="M525" s="2"/>
    </row>
    <row r="526" spans="10:13" ht="15.75" customHeight="1">
      <c r="J526" s="2"/>
      <c r="K526" s="2"/>
      <c r="M526" s="2"/>
    </row>
    <row r="527" spans="10:13" ht="15.75" customHeight="1">
      <c r="J527" s="2"/>
      <c r="K527" s="2"/>
      <c r="M527" s="2"/>
    </row>
    <row r="528" spans="10:13" ht="15.75" customHeight="1">
      <c r="J528" s="2"/>
      <c r="K528" s="2"/>
      <c r="M528" s="2"/>
    </row>
    <row r="529" spans="10:13" ht="15.75" customHeight="1">
      <c r="J529" s="2"/>
      <c r="K529" s="2"/>
      <c r="M529" s="2"/>
    </row>
    <row r="530" spans="10:13" ht="15.75" customHeight="1">
      <c r="J530" s="2"/>
      <c r="K530" s="2"/>
      <c r="M530" s="2"/>
    </row>
    <row r="531" spans="10:13" ht="15.75" customHeight="1">
      <c r="J531" s="2"/>
      <c r="K531" s="2"/>
      <c r="M531" s="2"/>
    </row>
    <row r="532" spans="10:13" ht="15.75" customHeight="1">
      <c r="J532" s="2"/>
      <c r="K532" s="2"/>
      <c r="M532" s="2"/>
    </row>
    <row r="533" spans="10:13" ht="15.75" customHeight="1">
      <c r="J533" s="2"/>
      <c r="K533" s="2"/>
      <c r="M533" s="2"/>
    </row>
    <row r="534" spans="10:13" ht="15.75" customHeight="1">
      <c r="J534" s="2"/>
      <c r="K534" s="2"/>
      <c r="M534" s="2"/>
    </row>
    <row r="535" spans="10:13" ht="15.75" customHeight="1">
      <c r="J535" s="2"/>
      <c r="K535" s="2"/>
      <c r="M535" s="2"/>
    </row>
    <row r="536" spans="10:13" ht="15.75" customHeight="1">
      <c r="J536" s="2"/>
      <c r="K536" s="2"/>
      <c r="M536" s="2"/>
    </row>
    <row r="537" spans="10:13" ht="15.75" customHeight="1">
      <c r="J537" s="2"/>
      <c r="K537" s="2"/>
      <c r="M537" s="2"/>
    </row>
    <row r="538" spans="10:13" ht="15.75" customHeight="1">
      <c r="J538" s="2"/>
      <c r="K538" s="2"/>
      <c r="M538" s="2"/>
    </row>
    <row r="539" spans="10:13" ht="15.75" customHeight="1">
      <c r="J539" s="2"/>
      <c r="K539" s="2"/>
      <c r="M539" s="2"/>
    </row>
    <row r="540" spans="10:13" ht="15.75" customHeight="1">
      <c r="J540" s="2"/>
      <c r="K540" s="2"/>
      <c r="M540" s="2"/>
    </row>
    <row r="541" spans="10:13" ht="15.75" customHeight="1">
      <c r="J541" s="2"/>
      <c r="K541" s="2"/>
      <c r="M541" s="2"/>
    </row>
    <row r="542" spans="10:13" ht="15.75" customHeight="1">
      <c r="J542" s="2"/>
      <c r="K542" s="2"/>
      <c r="M542" s="2"/>
    </row>
    <row r="543" spans="10:13" ht="15.75" customHeight="1">
      <c r="J543" s="2"/>
      <c r="K543" s="2"/>
      <c r="M543" s="2"/>
    </row>
    <row r="544" spans="10:13" ht="15.75" customHeight="1">
      <c r="J544" s="2"/>
      <c r="K544" s="2"/>
      <c r="M544" s="2"/>
    </row>
    <row r="545" spans="10:13" ht="15.75" customHeight="1">
      <c r="J545" s="2"/>
      <c r="K545" s="2"/>
      <c r="M545" s="2"/>
    </row>
    <row r="546" spans="10:13" ht="15.75" customHeight="1">
      <c r="J546" s="2"/>
      <c r="K546" s="2"/>
      <c r="M546" s="2"/>
    </row>
    <row r="547" spans="10:13" ht="15.75" customHeight="1">
      <c r="J547" s="2"/>
      <c r="K547" s="2"/>
      <c r="M547" s="2"/>
    </row>
    <row r="548" spans="10:13" ht="15.75" customHeight="1">
      <c r="J548" s="2"/>
      <c r="K548" s="2"/>
      <c r="M548" s="2"/>
    </row>
    <row r="549" spans="10:13" ht="15.75" customHeight="1">
      <c r="J549" s="2"/>
      <c r="K549" s="2"/>
      <c r="M549" s="2"/>
    </row>
    <row r="550" spans="10:13" ht="15.75" customHeight="1">
      <c r="J550" s="2"/>
      <c r="K550" s="2"/>
      <c r="M550" s="2"/>
    </row>
    <row r="551" spans="10:13" ht="15.75" customHeight="1">
      <c r="J551" s="2"/>
      <c r="K551" s="2"/>
      <c r="M551" s="2"/>
    </row>
    <row r="552" spans="10:13" ht="15.75" customHeight="1">
      <c r="J552" s="2"/>
      <c r="K552" s="2"/>
      <c r="M552" s="2"/>
    </row>
    <row r="553" spans="10:13" ht="15.75" customHeight="1">
      <c r="J553" s="2"/>
      <c r="K553" s="2"/>
      <c r="M553" s="2"/>
    </row>
    <row r="554" spans="10:13" ht="15.75" customHeight="1">
      <c r="J554" s="2"/>
      <c r="K554" s="2"/>
      <c r="M554" s="2"/>
    </row>
    <row r="555" spans="10:13" ht="15.75" customHeight="1">
      <c r="J555" s="2"/>
      <c r="K555" s="2"/>
      <c r="M555" s="2"/>
    </row>
    <row r="556" spans="10:13" ht="15.75" customHeight="1">
      <c r="J556" s="2"/>
      <c r="K556" s="2"/>
      <c r="M556" s="2"/>
    </row>
    <row r="557" spans="10:13" ht="15.75" customHeight="1">
      <c r="J557" s="2"/>
      <c r="K557" s="2"/>
      <c r="M557" s="2"/>
    </row>
    <row r="558" spans="10:13" ht="15.75" customHeight="1">
      <c r="J558" s="2"/>
      <c r="K558" s="2"/>
      <c r="M558" s="2"/>
    </row>
    <row r="559" spans="10:13" ht="15.75" customHeight="1">
      <c r="J559" s="2"/>
      <c r="K559" s="2"/>
      <c r="M559" s="2"/>
    </row>
    <row r="560" spans="10:13" ht="15.75" customHeight="1">
      <c r="J560" s="2"/>
      <c r="K560" s="2"/>
      <c r="M560" s="2"/>
    </row>
    <row r="561" spans="10:13" ht="15.75" customHeight="1">
      <c r="J561" s="2"/>
      <c r="K561" s="2"/>
      <c r="M561" s="2"/>
    </row>
    <row r="562" spans="10:13" ht="15.75" customHeight="1">
      <c r="J562" s="2"/>
      <c r="K562" s="2"/>
      <c r="M562" s="2"/>
    </row>
    <row r="563" spans="10:13" ht="15.75" customHeight="1">
      <c r="J563" s="2"/>
      <c r="K563" s="2"/>
      <c r="M563" s="2"/>
    </row>
    <row r="564" spans="10:13" ht="15.75" customHeight="1">
      <c r="J564" s="2"/>
      <c r="K564" s="2"/>
      <c r="M564" s="2"/>
    </row>
    <row r="565" spans="10:13" ht="15.75" customHeight="1">
      <c r="J565" s="2"/>
      <c r="K565" s="2"/>
      <c r="M565" s="2"/>
    </row>
    <row r="566" spans="10:13" ht="15.75" customHeight="1">
      <c r="J566" s="2"/>
      <c r="K566" s="2"/>
      <c r="M566" s="2"/>
    </row>
    <row r="567" spans="10:13" ht="15.75" customHeight="1">
      <c r="J567" s="2"/>
      <c r="K567" s="2"/>
      <c r="M567" s="2"/>
    </row>
    <row r="568" spans="10:13" ht="15.75" customHeight="1">
      <c r="J568" s="2"/>
      <c r="K568" s="2"/>
      <c r="M568" s="2"/>
    </row>
    <row r="569" spans="10:13" ht="15.75" customHeight="1">
      <c r="J569" s="2"/>
      <c r="K569" s="2"/>
      <c r="M569" s="2"/>
    </row>
    <row r="570" spans="10:13" ht="15.75" customHeight="1">
      <c r="J570" s="2"/>
      <c r="K570" s="2"/>
      <c r="M570" s="2"/>
    </row>
    <row r="571" spans="10:13" ht="15.75" customHeight="1">
      <c r="J571" s="2"/>
      <c r="K571" s="2"/>
      <c r="M571" s="2"/>
    </row>
    <row r="572" spans="10:13" ht="15.75" customHeight="1">
      <c r="J572" s="2"/>
      <c r="K572" s="2"/>
      <c r="M572" s="2"/>
    </row>
    <row r="573" spans="10:13" ht="15.75" customHeight="1">
      <c r="J573" s="2"/>
      <c r="K573" s="2"/>
      <c r="M573" s="2"/>
    </row>
    <row r="574" spans="10:13" ht="15.75" customHeight="1">
      <c r="J574" s="2"/>
      <c r="K574" s="2"/>
      <c r="M574" s="2"/>
    </row>
    <row r="575" spans="10:13" ht="15.75" customHeight="1">
      <c r="J575" s="2"/>
      <c r="K575" s="2"/>
      <c r="M575" s="2"/>
    </row>
    <row r="576" spans="10:13" ht="15.75" customHeight="1">
      <c r="J576" s="2"/>
      <c r="K576" s="2"/>
      <c r="M576" s="2"/>
    </row>
    <row r="577" spans="10:13" ht="15.75" customHeight="1">
      <c r="J577" s="2"/>
      <c r="K577" s="2"/>
      <c r="M577" s="2"/>
    </row>
    <row r="578" spans="10:13" ht="15.75" customHeight="1">
      <c r="J578" s="2"/>
      <c r="K578" s="2"/>
      <c r="M578" s="2"/>
    </row>
    <row r="579" spans="10:13" ht="15.75" customHeight="1">
      <c r="J579" s="2"/>
      <c r="K579" s="2"/>
      <c r="M579" s="2"/>
    </row>
    <row r="580" spans="10:13" ht="15.75" customHeight="1">
      <c r="J580" s="2"/>
      <c r="K580" s="2"/>
      <c r="M580" s="2"/>
    </row>
    <row r="581" spans="10:13" ht="15.75" customHeight="1">
      <c r="J581" s="2"/>
      <c r="K581" s="2"/>
      <c r="M581" s="2"/>
    </row>
    <row r="582" spans="10:13" ht="15.75" customHeight="1">
      <c r="J582" s="2"/>
      <c r="K582" s="2"/>
      <c r="M582" s="2"/>
    </row>
    <row r="583" spans="10:13" ht="15.75" customHeight="1">
      <c r="J583" s="2"/>
      <c r="K583" s="2"/>
      <c r="M583" s="2"/>
    </row>
    <row r="584" spans="10:13" ht="15.75" customHeight="1">
      <c r="J584" s="2"/>
      <c r="K584" s="2"/>
      <c r="M584" s="2"/>
    </row>
    <row r="585" spans="10:13" ht="15.75" customHeight="1">
      <c r="J585" s="2"/>
      <c r="K585" s="2"/>
      <c r="M585" s="2"/>
    </row>
    <row r="586" spans="10:13" ht="15.75" customHeight="1">
      <c r="J586" s="2"/>
      <c r="K586" s="2"/>
      <c r="M586" s="2"/>
    </row>
    <row r="587" spans="10:13" ht="15.75" customHeight="1">
      <c r="J587" s="2"/>
      <c r="K587" s="2"/>
      <c r="M587" s="2"/>
    </row>
    <row r="588" spans="10:13" ht="15.75" customHeight="1">
      <c r="J588" s="2"/>
      <c r="K588" s="2"/>
      <c r="M588" s="2"/>
    </row>
    <row r="589" spans="10:13" ht="15.75" customHeight="1">
      <c r="J589" s="2"/>
      <c r="K589" s="2"/>
      <c r="M589" s="2"/>
    </row>
    <row r="590" spans="10:13" ht="15.75" customHeight="1">
      <c r="J590" s="2"/>
      <c r="K590" s="2"/>
      <c r="M590" s="2"/>
    </row>
    <row r="591" spans="10:13" ht="15.75" customHeight="1">
      <c r="J591" s="2"/>
      <c r="K591" s="2"/>
      <c r="M591" s="2"/>
    </row>
    <row r="592" spans="10:13" ht="15.75" customHeight="1">
      <c r="J592" s="2"/>
      <c r="K592" s="2"/>
      <c r="M592" s="2"/>
    </row>
    <row r="593" spans="10:13" ht="15.75" customHeight="1">
      <c r="J593" s="2"/>
      <c r="K593" s="2"/>
      <c r="M593" s="2"/>
    </row>
    <row r="594" spans="10:13" ht="15.75" customHeight="1">
      <c r="J594" s="2"/>
      <c r="K594" s="2"/>
      <c r="M594" s="2"/>
    </row>
    <row r="595" spans="10:13" ht="15.75" customHeight="1">
      <c r="J595" s="2"/>
      <c r="K595" s="2"/>
      <c r="M595" s="2"/>
    </row>
    <row r="596" spans="10:13" ht="15.75" customHeight="1">
      <c r="J596" s="2"/>
      <c r="K596" s="2"/>
      <c r="M596" s="2"/>
    </row>
    <row r="597" spans="10:13" ht="15.75" customHeight="1">
      <c r="J597" s="2"/>
      <c r="K597" s="2"/>
      <c r="M597" s="2"/>
    </row>
    <row r="598" spans="10:13" ht="15.75" customHeight="1">
      <c r="J598" s="2"/>
      <c r="K598" s="2"/>
      <c r="M598" s="2"/>
    </row>
    <row r="599" spans="10:13" ht="15.75" customHeight="1">
      <c r="J599" s="2"/>
      <c r="K599" s="2"/>
      <c r="M599" s="2"/>
    </row>
    <row r="600" spans="10:13" ht="15.75" customHeight="1">
      <c r="J600" s="2"/>
      <c r="K600" s="2"/>
      <c r="M600" s="2"/>
    </row>
    <row r="601" spans="10:13" ht="15.75" customHeight="1">
      <c r="J601" s="2"/>
      <c r="K601" s="2"/>
      <c r="M601" s="2"/>
    </row>
    <row r="602" spans="10:13" ht="15.75" customHeight="1">
      <c r="J602" s="2"/>
      <c r="K602" s="2"/>
      <c r="M602" s="2"/>
    </row>
    <row r="603" spans="10:13" ht="15.75" customHeight="1">
      <c r="J603" s="2"/>
      <c r="K603" s="2"/>
      <c r="M603" s="2"/>
    </row>
    <row r="604" spans="10:13" ht="15.75" customHeight="1">
      <c r="J604" s="2"/>
      <c r="K604" s="2"/>
      <c r="M604" s="2"/>
    </row>
    <row r="605" spans="10:13" ht="15.75" customHeight="1">
      <c r="J605" s="2"/>
      <c r="K605" s="2"/>
      <c r="M605" s="2"/>
    </row>
    <row r="606" spans="10:13" ht="15.75" customHeight="1">
      <c r="J606" s="2"/>
      <c r="K606" s="2"/>
      <c r="M606" s="2"/>
    </row>
    <row r="607" spans="10:13" ht="15.75" customHeight="1">
      <c r="J607" s="2"/>
      <c r="K607" s="2"/>
      <c r="M607" s="2"/>
    </row>
    <row r="608" spans="10:13" ht="15.75" customHeight="1">
      <c r="J608" s="2"/>
      <c r="K608" s="2"/>
      <c r="M608" s="2"/>
    </row>
    <row r="609" spans="10:13" ht="15.75" customHeight="1">
      <c r="J609" s="2"/>
      <c r="K609" s="2"/>
      <c r="M609" s="2"/>
    </row>
    <row r="610" spans="10:13" ht="15.75" customHeight="1">
      <c r="J610" s="2"/>
      <c r="K610" s="2"/>
      <c r="M610" s="2"/>
    </row>
    <row r="611" spans="10:13" ht="15.75" customHeight="1">
      <c r="J611" s="2"/>
      <c r="K611" s="2"/>
      <c r="M611" s="2"/>
    </row>
    <row r="612" spans="10:13" ht="15.75" customHeight="1">
      <c r="J612" s="2"/>
      <c r="K612" s="2"/>
      <c r="M612" s="2"/>
    </row>
    <row r="613" spans="10:13" ht="15.75" customHeight="1">
      <c r="J613" s="2"/>
      <c r="K613" s="2"/>
      <c r="M613" s="2"/>
    </row>
    <row r="614" spans="10:13" ht="15.75" customHeight="1">
      <c r="J614" s="2"/>
      <c r="K614" s="2"/>
      <c r="M614" s="2"/>
    </row>
    <row r="615" spans="10:13" ht="15.75" customHeight="1">
      <c r="J615" s="2"/>
      <c r="K615" s="2"/>
      <c r="M615" s="2"/>
    </row>
    <row r="616" spans="10:13" ht="15.75" customHeight="1">
      <c r="J616" s="2"/>
      <c r="K616" s="2"/>
      <c r="M616" s="2"/>
    </row>
    <row r="617" spans="10:13" ht="15.75" customHeight="1">
      <c r="J617" s="2"/>
      <c r="K617" s="2"/>
      <c r="M617" s="2"/>
    </row>
    <row r="618" spans="10:13" ht="15.75" customHeight="1">
      <c r="J618" s="2"/>
      <c r="K618" s="2"/>
      <c r="M618" s="2"/>
    </row>
    <row r="619" spans="10:13" ht="15.75" customHeight="1">
      <c r="J619" s="2"/>
      <c r="K619" s="2"/>
      <c r="M619" s="2"/>
    </row>
    <row r="620" spans="10:13" ht="15.75" customHeight="1">
      <c r="J620" s="2"/>
      <c r="K620" s="2"/>
      <c r="M620" s="2"/>
    </row>
    <row r="621" spans="10:13" ht="15.75" customHeight="1">
      <c r="J621" s="2"/>
      <c r="K621" s="2"/>
      <c r="M621" s="2"/>
    </row>
    <row r="622" spans="10:13" ht="15.75" customHeight="1">
      <c r="J622" s="2"/>
      <c r="K622" s="2"/>
      <c r="M622" s="2"/>
    </row>
    <row r="623" spans="10:13" ht="15.75" customHeight="1">
      <c r="J623" s="2"/>
      <c r="K623" s="2"/>
      <c r="M623" s="2"/>
    </row>
    <row r="624" spans="10:13" ht="15.75" customHeight="1">
      <c r="J624" s="2"/>
      <c r="K624" s="2"/>
      <c r="M624" s="2"/>
    </row>
    <row r="625" spans="10:13" ht="15.75" customHeight="1">
      <c r="J625" s="2"/>
      <c r="K625" s="2"/>
      <c r="M625" s="2"/>
    </row>
    <row r="626" spans="10:13" ht="15.75" customHeight="1">
      <c r="J626" s="2"/>
      <c r="K626" s="2"/>
      <c r="M626" s="2"/>
    </row>
    <row r="627" spans="10:13" ht="15.75" customHeight="1">
      <c r="J627" s="2"/>
      <c r="K627" s="2"/>
      <c r="M627" s="2"/>
    </row>
    <row r="628" spans="10:13" ht="15.75" customHeight="1">
      <c r="J628" s="2"/>
      <c r="K628" s="2"/>
      <c r="M628" s="2"/>
    </row>
    <row r="629" spans="10:13" ht="15.75" customHeight="1">
      <c r="J629" s="2"/>
      <c r="K629" s="2"/>
      <c r="M629" s="2"/>
    </row>
    <row r="630" spans="10:13" ht="15.75" customHeight="1">
      <c r="J630" s="2"/>
      <c r="K630" s="2"/>
      <c r="M630" s="2"/>
    </row>
    <row r="631" spans="10:13" ht="15.75" customHeight="1">
      <c r="J631" s="2"/>
      <c r="K631" s="2"/>
      <c r="M631" s="2"/>
    </row>
    <row r="632" spans="10:13" ht="15.75" customHeight="1">
      <c r="J632" s="2"/>
      <c r="K632" s="2"/>
      <c r="M632" s="2"/>
    </row>
    <row r="633" spans="10:13" ht="15.75" customHeight="1">
      <c r="J633" s="2"/>
      <c r="K633" s="2"/>
      <c r="M633" s="2"/>
    </row>
    <row r="634" spans="10:13" ht="15.75" customHeight="1">
      <c r="J634" s="2"/>
      <c r="K634" s="2"/>
      <c r="M634" s="2"/>
    </row>
    <row r="635" spans="10:13" ht="15.75" customHeight="1">
      <c r="J635" s="2"/>
      <c r="K635" s="2"/>
      <c r="M635" s="2"/>
    </row>
    <row r="636" spans="10:13" ht="15.75" customHeight="1">
      <c r="J636" s="2"/>
      <c r="K636" s="2"/>
      <c r="M636" s="2"/>
    </row>
    <row r="637" spans="10:13" ht="15.75" customHeight="1">
      <c r="J637" s="2"/>
      <c r="K637" s="2"/>
      <c r="M637" s="2"/>
    </row>
    <row r="638" spans="10:13" ht="15.75" customHeight="1">
      <c r="J638" s="2"/>
      <c r="K638" s="2"/>
      <c r="M638" s="2"/>
    </row>
    <row r="639" spans="10:13" ht="15.75" customHeight="1">
      <c r="J639" s="2"/>
      <c r="K639" s="2"/>
      <c r="M639" s="2"/>
    </row>
    <row r="640" spans="10:13" ht="15.75" customHeight="1">
      <c r="J640" s="2"/>
      <c r="K640" s="2"/>
      <c r="M640" s="2"/>
    </row>
    <row r="641" spans="10:13" ht="15.75" customHeight="1">
      <c r="J641" s="2"/>
      <c r="K641" s="2"/>
      <c r="M641" s="2"/>
    </row>
    <row r="642" spans="10:13" ht="15.75" customHeight="1">
      <c r="J642" s="2"/>
      <c r="K642" s="2"/>
      <c r="M642" s="2"/>
    </row>
    <row r="643" spans="10:13" ht="15.75" customHeight="1">
      <c r="J643" s="2"/>
      <c r="K643" s="2"/>
      <c r="M643" s="2"/>
    </row>
    <row r="644" spans="10:13" ht="15.75" customHeight="1">
      <c r="J644" s="2"/>
      <c r="K644" s="2"/>
      <c r="M644" s="2"/>
    </row>
    <row r="645" spans="10:13" ht="15.75" customHeight="1">
      <c r="J645" s="2"/>
      <c r="K645" s="2"/>
      <c r="M645" s="2"/>
    </row>
    <row r="646" spans="10:13" ht="15.75" customHeight="1">
      <c r="J646" s="2"/>
      <c r="K646" s="2"/>
      <c r="M646" s="2"/>
    </row>
    <row r="647" spans="10:13" ht="15.75" customHeight="1">
      <c r="J647" s="2"/>
      <c r="K647" s="2"/>
      <c r="M647" s="2"/>
    </row>
    <row r="648" spans="10:13" ht="15.75" customHeight="1">
      <c r="J648" s="2"/>
      <c r="K648" s="2"/>
      <c r="M648" s="2"/>
    </row>
    <row r="649" spans="10:13" ht="15.75" customHeight="1">
      <c r="J649" s="2"/>
      <c r="K649" s="2"/>
      <c r="M649" s="2"/>
    </row>
    <row r="650" spans="10:13" ht="15.75" customHeight="1">
      <c r="J650" s="2"/>
      <c r="K650" s="2"/>
      <c r="M650" s="2"/>
    </row>
    <row r="651" spans="10:13" ht="15.75" customHeight="1">
      <c r="J651" s="2"/>
      <c r="K651" s="2"/>
      <c r="M651" s="2"/>
    </row>
    <row r="652" spans="10:13" ht="15.75" customHeight="1">
      <c r="J652" s="2"/>
      <c r="K652" s="2"/>
      <c r="M652" s="2"/>
    </row>
    <row r="653" spans="10:13" ht="15.75" customHeight="1">
      <c r="J653" s="2"/>
      <c r="K653" s="2"/>
      <c r="M653" s="2"/>
    </row>
    <row r="654" spans="10:13" ht="15.75" customHeight="1">
      <c r="J654" s="2"/>
      <c r="K654" s="2"/>
      <c r="M654" s="2"/>
    </row>
    <row r="655" spans="10:13" ht="15.75" customHeight="1">
      <c r="J655" s="2"/>
      <c r="K655" s="2"/>
      <c r="M655" s="2"/>
    </row>
    <row r="656" spans="10:13" ht="15.75" customHeight="1">
      <c r="J656" s="2"/>
      <c r="K656" s="2"/>
      <c r="M656" s="2"/>
    </row>
    <row r="657" spans="10:13" ht="15.75" customHeight="1">
      <c r="J657" s="2"/>
      <c r="K657" s="2"/>
      <c r="M657" s="2"/>
    </row>
    <row r="658" spans="10:13" ht="15.75" customHeight="1">
      <c r="J658" s="2"/>
      <c r="K658" s="2"/>
      <c r="M658" s="2"/>
    </row>
    <row r="659" spans="10:13" ht="15.75" customHeight="1">
      <c r="J659" s="2"/>
      <c r="K659" s="2"/>
      <c r="M659" s="2"/>
    </row>
    <row r="660" spans="10:13" ht="15.75" customHeight="1">
      <c r="J660" s="2"/>
      <c r="K660" s="2"/>
      <c r="M660" s="2"/>
    </row>
    <row r="661" spans="10:13" ht="15.75" customHeight="1">
      <c r="J661" s="2"/>
      <c r="K661" s="2"/>
      <c r="M661" s="2"/>
    </row>
    <row r="662" spans="10:13" ht="15.75" customHeight="1">
      <c r="J662" s="2"/>
      <c r="K662" s="2"/>
      <c r="M662" s="2"/>
    </row>
    <row r="663" spans="10:13" ht="15.75" customHeight="1">
      <c r="J663" s="2"/>
      <c r="K663" s="2"/>
      <c r="M663" s="2"/>
    </row>
    <row r="664" spans="10:13" ht="15.75" customHeight="1">
      <c r="J664" s="2"/>
      <c r="K664" s="2"/>
      <c r="M664" s="2"/>
    </row>
    <row r="665" spans="10:13" ht="15.75" customHeight="1">
      <c r="J665" s="2"/>
      <c r="K665" s="2"/>
      <c r="M665" s="2"/>
    </row>
    <row r="666" spans="10:13" ht="15.75" customHeight="1">
      <c r="J666" s="2"/>
      <c r="K666" s="2"/>
      <c r="M666" s="2"/>
    </row>
    <row r="667" spans="10:13" ht="15.75" customHeight="1">
      <c r="J667" s="2"/>
      <c r="K667" s="2"/>
      <c r="M667" s="2"/>
    </row>
    <row r="668" spans="10:13" ht="15.75" customHeight="1">
      <c r="J668" s="2"/>
      <c r="K668" s="2"/>
      <c r="M668" s="2"/>
    </row>
    <row r="669" spans="10:13" ht="15.75" customHeight="1">
      <c r="J669" s="2"/>
      <c r="K669" s="2"/>
      <c r="M669" s="2"/>
    </row>
    <row r="670" spans="10:13" ht="15.75" customHeight="1">
      <c r="J670" s="2"/>
      <c r="K670" s="2"/>
      <c r="M670" s="2"/>
    </row>
    <row r="671" spans="10:13" ht="15.75" customHeight="1">
      <c r="J671" s="2"/>
      <c r="K671" s="2"/>
      <c r="M671" s="2"/>
    </row>
    <row r="672" spans="10:13" ht="15.75" customHeight="1">
      <c r="J672" s="2"/>
      <c r="K672" s="2"/>
      <c r="M672" s="2"/>
    </row>
    <row r="673" spans="10:13" ht="15.75" customHeight="1">
      <c r="J673" s="2"/>
      <c r="K673" s="2"/>
      <c r="M673" s="2"/>
    </row>
    <row r="674" spans="10:13" ht="15.75" customHeight="1">
      <c r="J674" s="2"/>
      <c r="K674" s="2"/>
      <c r="M674" s="2"/>
    </row>
    <row r="675" spans="10:13" ht="15.75" customHeight="1">
      <c r="J675" s="2"/>
      <c r="K675" s="2"/>
      <c r="M675" s="2"/>
    </row>
    <row r="676" spans="10:13" ht="15.75" customHeight="1">
      <c r="J676" s="2"/>
      <c r="K676" s="2"/>
      <c r="M676" s="2"/>
    </row>
    <row r="677" spans="10:13" ht="15.75" customHeight="1">
      <c r="J677" s="2"/>
      <c r="K677" s="2"/>
      <c r="M677" s="2"/>
    </row>
    <row r="678" spans="10:13" ht="15.75" customHeight="1">
      <c r="J678" s="2"/>
      <c r="K678" s="2"/>
      <c r="M678" s="2"/>
    </row>
    <row r="679" spans="10:13" ht="15.75" customHeight="1">
      <c r="J679" s="2"/>
      <c r="K679" s="2"/>
      <c r="M679" s="2"/>
    </row>
    <row r="680" spans="10:13" ht="15.75" customHeight="1">
      <c r="J680" s="2"/>
      <c r="K680" s="2"/>
      <c r="M680" s="2"/>
    </row>
    <row r="681" spans="10:13" ht="15.75" customHeight="1">
      <c r="J681" s="2"/>
      <c r="K681" s="2"/>
      <c r="M681" s="2"/>
    </row>
    <row r="682" spans="10:13" ht="15.75" customHeight="1">
      <c r="J682" s="2"/>
      <c r="K682" s="2"/>
      <c r="M682" s="2"/>
    </row>
    <row r="683" spans="10:13" ht="15.75" customHeight="1">
      <c r="J683" s="2"/>
      <c r="K683" s="2"/>
      <c r="M683" s="2"/>
    </row>
    <row r="684" spans="10:13" ht="15.75" customHeight="1">
      <c r="J684" s="2"/>
      <c r="K684" s="2"/>
      <c r="M684" s="2"/>
    </row>
    <row r="685" spans="10:13" ht="15.75" customHeight="1">
      <c r="J685" s="2"/>
      <c r="K685" s="2"/>
      <c r="M685" s="2"/>
    </row>
    <row r="686" spans="10:13" ht="15.75" customHeight="1">
      <c r="J686" s="2"/>
      <c r="K686" s="2"/>
      <c r="M686" s="2"/>
    </row>
    <row r="687" spans="10:13" ht="15.75" customHeight="1">
      <c r="J687" s="2"/>
      <c r="K687" s="2"/>
      <c r="M687" s="2"/>
    </row>
    <row r="688" spans="10:13" ht="15.75" customHeight="1">
      <c r="J688" s="2"/>
      <c r="K688" s="2"/>
      <c r="M688" s="2"/>
    </row>
    <row r="689" spans="10:13" ht="15.75" customHeight="1">
      <c r="J689" s="2"/>
      <c r="K689" s="2"/>
      <c r="M689" s="2"/>
    </row>
    <row r="690" spans="10:13" ht="15.75" customHeight="1">
      <c r="J690" s="2"/>
      <c r="K690" s="2"/>
      <c r="M690" s="2"/>
    </row>
    <row r="691" spans="10:13" ht="15.75" customHeight="1">
      <c r="J691" s="2"/>
      <c r="K691" s="2"/>
      <c r="M691" s="2"/>
    </row>
    <row r="692" spans="10:13" ht="15.75" customHeight="1">
      <c r="J692" s="2"/>
      <c r="K692" s="2"/>
      <c r="M692" s="2"/>
    </row>
    <row r="693" spans="10:13" ht="15.75" customHeight="1">
      <c r="J693" s="2"/>
      <c r="K693" s="2"/>
      <c r="M693" s="2"/>
    </row>
    <row r="694" spans="10:13" ht="15.75" customHeight="1">
      <c r="J694" s="2"/>
      <c r="K694" s="2"/>
      <c r="M694" s="2"/>
    </row>
    <row r="695" spans="10:13" ht="15.75" customHeight="1">
      <c r="J695" s="2"/>
      <c r="K695" s="2"/>
      <c r="M695" s="2"/>
    </row>
    <row r="696" spans="10:13" ht="15.75" customHeight="1">
      <c r="J696" s="2"/>
      <c r="K696" s="2"/>
      <c r="M696" s="2"/>
    </row>
    <row r="697" spans="10:13" ht="15.75" customHeight="1">
      <c r="J697" s="2"/>
      <c r="K697" s="2"/>
      <c r="M697" s="2"/>
    </row>
    <row r="698" spans="10:13" ht="15.75" customHeight="1">
      <c r="J698" s="2"/>
      <c r="K698" s="2"/>
      <c r="M698" s="2"/>
    </row>
    <row r="699" spans="10:13" ht="15.75" customHeight="1">
      <c r="J699" s="2"/>
      <c r="K699" s="2"/>
      <c r="M699" s="2"/>
    </row>
    <row r="700" spans="10:13" ht="15.75" customHeight="1">
      <c r="J700" s="2"/>
      <c r="K700" s="2"/>
      <c r="M700" s="2"/>
    </row>
    <row r="701" spans="10:13" ht="15.75" customHeight="1">
      <c r="J701" s="2"/>
      <c r="K701" s="2"/>
      <c r="M701" s="2"/>
    </row>
    <row r="702" spans="10:13" ht="15.75" customHeight="1">
      <c r="J702" s="2"/>
      <c r="K702" s="2"/>
      <c r="M702" s="2"/>
    </row>
    <row r="703" spans="10:13" ht="15.75" customHeight="1">
      <c r="J703" s="2"/>
      <c r="K703" s="2"/>
      <c r="M703" s="2"/>
    </row>
    <row r="704" spans="10:13" ht="15.75" customHeight="1">
      <c r="J704" s="2"/>
      <c r="K704" s="2"/>
      <c r="M704" s="2"/>
    </row>
    <row r="705" spans="10:13" ht="15.75" customHeight="1">
      <c r="J705" s="2"/>
      <c r="K705" s="2"/>
      <c r="M705" s="2"/>
    </row>
    <row r="706" spans="10:13" ht="15.75" customHeight="1">
      <c r="J706" s="2"/>
      <c r="K706" s="2"/>
      <c r="M706" s="2"/>
    </row>
    <row r="707" spans="10:13" ht="15.75" customHeight="1">
      <c r="J707" s="2"/>
      <c r="K707" s="2"/>
      <c r="M707" s="2"/>
    </row>
    <row r="708" spans="10:13" ht="15.75" customHeight="1">
      <c r="J708" s="2"/>
      <c r="K708" s="2"/>
      <c r="M708" s="2"/>
    </row>
    <row r="709" spans="10:13" ht="15.75" customHeight="1">
      <c r="J709" s="2"/>
      <c r="K709" s="2"/>
      <c r="M709" s="2"/>
    </row>
    <row r="710" spans="10:13" ht="15.75" customHeight="1">
      <c r="J710" s="2"/>
      <c r="K710" s="2"/>
      <c r="M710" s="2"/>
    </row>
    <row r="711" spans="10:13" ht="15.75" customHeight="1">
      <c r="J711" s="2"/>
      <c r="K711" s="2"/>
      <c r="M711" s="2"/>
    </row>
    <row r="712" spans="10:13" ht="15.75" customHeight="1">
      <c r="J712" s="2"/>
      <c r="K712" s="2"/>
      <c r="M712" s="2"/>
    </row>
    <row r="713" spans="10:13" ht="15.75" customHeight="1">
      <c r="J713" s="2"/>
      <c r="K713" s="2"/>
      <c r="M713" s="2"/>
    </row>
    <row r="714" spans="10:13" ht="15.75" customHeight="1">
      <c r="J714" s="2"/>
      <c r="K714" s="2"/>
      <c r="M714" s="2"/>
    </row>
    <row r="715" spans="10:13" ht="15.75" customHeight="1">
      <c r="J715" s="2"/>
      <c r="K715" s="2"/>
      <c r="M715" s="2"/>
    </row>
    <row r="716" spans="10:13" ht="15.75" customHeight="1">
      <c r="J716" s="2"/>
      <c r="K716" s="2"/>
      <c r="M716" s="2"/>
    </row>
    <row r="717" spans="10:13" ht="15.75" customHeight="1">
      <c r="J717" s="2"/>
      <c r="K717" s="2"/>
      <c r="M717" s="2"/>
    </row>
    <row r="718" spans="10:13" ht="15.75" customHeight="1">
      <c r="J718" s="2"/>
      <c r="K718" s="2"/>
      <c r="M718" s="2"/>
    </row>
    <row r="719" spans="10:13" ht="15.75" customHeight="1">
      <c r="J719" s="2"/>
      <c r="K719" s="2"/>
      <c r="M719" s="2"/>
    </row>
    <row r="720" spans="10:13" ht="15.75" customHeight="1">
      <c r="J720" s="2"/>
      <c r="K720" s="2"/>
      <c r="M720" s="2"/>
    </row>
    <row r="721" spans="10:13" ht="15.75" customHeight="1">
      <c r="J721" s="2"/>
      <c r="K721" s="2"/>
      <c r="M721" s="2"/>
    </row>
    <row r="722" spans="10:13" ht="15.75" customHeight="1">
      <c r="J722" s="2"/>
      <c r="K722" s="2"/>
      <c r="M722" s="2"/>
    </row>
    <row r="723" spans="10:13" ht="15.75" customHeight="1">
      <c r="J723" s="2"/>
      <c r="K723" s="2"/>
      <c r="M723" s="2"/>
    </row>
    <row r="724" spans="10:13" ht="15.75" customHeight="1">
      <c r="J724" s="2"/>
      <c r="K724" s="2"/>
      <c r="M724" s="2"/>
    </row>
    <row r="725" spans="10:13" ht="15.75" customHeight="1">
      <c r="J725" s="2"/>
      <c r="K725" s="2"/>
      <c r="M725" s="2"/>
    </row>
    <row r="726" spans="10:13" ht="15.75" customHeight="1">
      <c r="J726" s="2"/>
      <c r="K726" s="2"/>
      <c r="M726" s="2"/>
    </row>
    <row r="727" spans="10:13" ht="15.75" customHeight="1">
      <c r="J727" s="2"/>
      <c r="K727" s="2"/>
      <c r="M727" s="2"/>
    </row>
    <row r="728" spans="10:13" ht="15.75" customHeight="1">
      <c r="J728" s="2"/>
      <c r="K728" s="2"/>
      <c r="M728" s="2"/>
    </row>
    <row r="729" spans="10:13" ht="15.75" customHeight="1">
      <c r="J729" s="2"/>
      <c r="K729" s="2"/>
      <c r="M729" s="2"/>
    </row>
    <row r="730" spans="10:13" ht="15.75" customHeight="1">
      <c r="J730" s="2"/>
      <c r="K730" s="2"/>
      <c r="M730" s="2"/>
    </row>
    <row r="731" spans="10:13" ht="15.75" customHeight="1">
      <c r="J731" s="2"/>
      <c r="K731" s="2"/>
      <c r="M731" s="2"/>
    </row>
    <row r="732" spans="10:13" ht="15.75" customHeight="1">
      <c r="J732" s="2"/>
      <c r="K732" s="2"/>
      <c r="M732" s="2"/>
    </row>
    <row r="733" spans="10:13" ht="15.75" customHeight="1">
      <c r="J733" s="2"/>
      <c r="K733" s="2"/>
      <c r="M733" s="2"/>
    </row>
    <row r="734" spans="10:13" ht="15.75" customHeight="1">
      <c r="J734" s="2"/>
      <c r="K734" s="2"/>
      <c r="M734" s="2"/>
    </row>
    <row r="735" spans="10:13" ht="15.75" customHeight="1">
      <c r="J735" s="2"/>
      <c r="K735" s="2"/>
      <c r="M735" s="2"/>
    </row>
    <row r="736" spans="10:13" ht="15.75" customHeight="1">
      <c r="J736" s="2"/>
      <c r="K736" s="2"/>
      <c r="M736" s="2"/>
    </row>
    <row r="737" spans="10:13" ht="15.75" customHeight="1">
      <c r="J737" s="2"/>
      <c r="K737" s="2"/>
      <c r="M737" s="2"/>
    </row>
    <row r="738" spans="10:13" ht="15.75" customHeight="1">
      <c r="J738" s="2"/>
      <c r="K738" s="2"/>
      <c r="M738" s="2"/>
    </row>
    <row r="739" spans="10:13" ht="15.75" customHeight="1">
      <c r="J739" s="2"/>
      <c r="K739" s="2"/>
      <c r="M739" s="2"/>
    </row>
    <row r="740" spans="10:13" ht="15.75" customHeight="1">
      <c r="J740" s="2"/>
      <c r="K740" s="2"/>
      <c r="M740" s="2"/>
    </row>
    <row r="741" spans="10:13" ht="15.75" customHeight="1">
      <c r="J741" s="2"/>
      <c r="K741" s="2"/>
      <c r="M741" s="2"/>
    </row>
    <row r="742" spans="10:13" ht="15.75" customHeight="1">
      <c r="J742" s="2"/>
      <c r="K742" s="2"/>
      <c r="M742" s="2"/>
    </row>
    <row r="743" spans="10:13" ht="15.75" customHeight="1">
      <c r="J743" s="2"/>
      <c r="K743" s="2"/>
      <c r="M743" s="2"/>
    </row>
    <row r="744" spans="10:13" ht="15.75" customHeight="1">
      <c r="J744" s="2"/>
      <c r="K744" s="2"/>
      <c r="M744" s="2"/>
    </row>
    <row r="745" spans="10:13" ht="15.75" customHeight="1">
      <c r="J745" s="2"/>
      <c r="K745" s="2"/>
      <c r="M745" s="2"/>
    </row>
    <row r="746" spans="10:13" ht="15.75" customHeight="1">
      <c r="J746" s="2"/>
      <c r="K746" s="2"/>
      <c r="M746" s="2"/>
    </row>
    <row r="747" spans="10:13" ht="15.75" customHeight="1">
      <c r="J747" s="2"/>
      <c r="K747" s="2"/>
      <c r="M747" s="2"/>
    </row>
    <row r="748" spans="10:13" ht="15.75" customHeight="1">
      <c r="J748" s="2"/>
      <c r="K748" s="2"/>
      <c r="M748" s="2"/>
    </row>
    <row r="749" spans="10:13" ht="15.75" customHeight="1">
      <c r="J749" s="2"/>
      <c r="K749" s="2"/>
      <c r="M749" s="2"/>
    </row>
    <row r="750" spans="10:13" ht="15.75" customHeight="1">
      <c r="J750" s="2"/>
      <c r="K750" s="2"/>
      <c r="M750" s="2"/>
    </row>
    <row r="751" spans="10:13" ht="15.75" customHeight="1">
      <c r="J751" s="2"/>
      <c r="K751" s="2"/>
      <c r="M751" s="2"/>
    </row>
    <row r="752" spans="10:13" ht="15.75" customHeight="1">
      <c r="J752" s="2"/>
      <c r="K752" s="2"/>
      <c r="M752" s="2"/>
    </row>
    <row r="753" spans="10:13" ht="15.75" customHeight="1">
      <c r="J753" s="2"/>
      <c r="K753" s="2"/>
      <c r="M753" s="2"/>
    </row>
    <row r="754" spans="10:13" ht="15.75" customHeight="1">
      <c r="J754" s="2"/>
      <c r="K754" s="2"/>
      <c r="M754" s="2"/>
    </row>
    <row r="755" spans="10:13" ht="15.75" customHeight="1">
      <c r="J755" s="2"/>
      <c r="K755" s="2"/>
      <c r="M755" s="2"/>
    </row>
    <row r="756" spans="10:13" ht="15.75" customHeight="1">
      <c r="J756" s="2"/>
      <c r="K756" s="2"/>
      <c r="M756" s="2"/>
    </row>
    <row r="757" spans="10:13" ht="15.75" customHeight="1">
      <c r="J757" s="2"/>
      <c r="K757" s="2"/>
      <c r="M757" s="2"/>
    </row>
    <row r="758" spans="10:13" ht="15.75" customHeight="1">
      <c r="J758" s="2"/>
      <c r="K758" s="2"/>
      <c r="M758" s="2"/>
    </row>
    <row r="759" spans="10:13" ht="15.75" customHeight="1">
      <c r="J759" s="2"/>
      <c r="K759" s="2"/>
      <c r="M759" s="2"/>
    </row>
    <row r="760" spans="10:13" ht="15.75" customHeight="1">
      <c r="J760" s="2"/>
      <c r="K760" s="2"/>
      <c r="M760" s="2"/>
    </row>
    <row r="761" spans="10:13" ht="15.75" customHeight="1">
      <c r="J761" s="2"/>
      <c r="K761" s="2"/>
      <c r="M761" s="2"/>
    </row>
    <row r="762" spans="10:13" ht="15.75" customHeight="1">
      <c r="J762" s="2"/>
      <c r="K762" s="2"/>
      <c r="M762" s="2"/>
    </row>
    <row r="763" spans="10:13" ht="15.75" customHeight="1">
      <c r="J763" s="2"/>
      <c r="K763" s="2"/>
      <c r="M763" s="2"/>
    </row>
    <row r="764" spans="10:13" ht="15.75" customHeight="1">
      <c r="J764" s="2"/>
      <c r="K764" s="2"/>
      <c r="M764" s="2"/>
    </row>
    <row r="765" spans="10:13" ht="15.75" customHeight="1">
      <c r="J765" s="2"/>
      <c r="K765" s="2"/>
      <c r="M765" s="2"/>
    </row>
    <row r="766" spans="10:13" ht="15.75" customHeight="1">
      <c r="J766" s="2"/>
      <c r="K766" s="2"/>
      <c r="M766" s="2"/>
    </row>
    <row r="767" spans="10:13" ht="15.75" customHeight="1">
      <c r="J767" s="2"/>
      <c r="K767" s="2"/>
      <c r="M767" s="2"/>
    </row>
    <row r="768" spans="10:13" ht="15.75" customHeight="1">
      <c r="J768" s="2"/>
      <c r="K768" s="2"/>
      <c r="M768" s="2"/>
    </row>
    <row r="769" spans="10:13" ht="15.75" customHeight="1">
      <c r="J769" s="2"/>
      <c r="K769" s="2"/>
      <c r="M769" s="2"/>
    </row>
    <row r="770" spans="10:13" ht="15.75" customHeight="1">
      <c r="J770" s="2"/>
      <c r="K770" s="2"/>
      <c r="M770" s="2"/>
    </row>
    <row r="771" spans="10:13" ht="15.75" customHeight="1">
      <c r="J771" s="2"/>
      <c r="K771" s="2"/>
      <c r="M771" s="2"/>
    </row>
    <row r="772" spans="10:13" ht="15.75" customHeight="1">
      <c r="J772" s="2"/>
      <c r="K772" s="2"/>
      <c r="M772" s="2"/>
    </row>
    <row r="773" spans="10:13" ht="15.75" customHeight="1">
      <c r="J773" s="2"/>
      <c r="K773" s="2"/>
      <c r="M773" s="2"/>
    </row>
    <row r="774" spans="10:13" ht="15.75" customHeight="1">
      <c r="J774" s="2"/>
      <c r="K774" s="2"/>
      <c r="M774" s="2"/>
    </row>
    <row r="775" spans="10:13" ht="15.75" customHeight="1">
      <c r="J775" s="2"/>
      <c r="K775" s="2"/>
      <c r="M775" s="2"/>
    </row>
    <row r="776" spans="10:13" ht="15.75" customHeight="1">
      <c r="J776" s="2"/>
      <c r="K776" s="2"/>
      <c r="M776" s="2"/>
    </row>
    <row r="777" spans="10:13" ht="15.75" customHeight="1">
      <c r="J777" s="2"/>
      <c r="K777" s="2"/>
      <c r="M777" s="2"/>
    </row>
    <row r="778" spans="10:13" ht="15.75" customHeight="1">
      <c r="J778" s="2"/>
      <c r="K778" s="2"/>
      <c r="M778" s="2"/>
    </row>
    <row r="779" spans="10:13" ht="15.75" customHeight="1">
      <c r="J779" s="2"/>
      <c r="K779" s="2"/>
      <c r="M779" s="2"/>
    </row>
    <row r="780" spans="10:13" ht="15.75" customHeight="1">
      <c r="J780" s="2"/>
      <c r="K780" s="2"/>
      <c r="M780" s="2"/>
    </row>
    <row r="781" spans="10:13" ht="15.75" customHeight="1">
      <c r="J781" s="2"/>
      <c r="K781" s="2"/>
      <c r="M781" s="2"/>
    </row>
    <row r="782" spans="10:13" ht="15.75" customHeight="1">
      <c r="J782" s="2"/>
      <c r="K782" s="2"/>
      <c r="M782" s="2"/>
    </row>
    <row r="783" spans="10:13" ht="15.75" customHeight="1">
      <c r="J783" s="2"/>
      <c r="K783" s="2"/>
      <c r="M783" s="2"/>
    </row>
    <row r="784" spans="10:13" ht="15.75" customHeight="1">
      <c r="J784" s="2"/>
      <c r="K784" s="2"/>
      <c r="M784" s="2"/>
    </row>
    <row r="785" spans="10:13" ht="15.75" customHeight="1">
      <c r="J785" s="2"/>
      <c r="K785" s="2"/>
      <c r="M785" s="2"/>
    </row>
    <row r="786" spans="10:13" ht="15.75" customHeight="1">
      <c r="J786" s="2"/>
      <c r="K786" s="2"/>
      <c r="M786" s="2"/>
    </row>
    <row r="787" spans="10:13" ht="15.75" customHeight="1">
      <c r="J787" s="2"/>
      <c r="K787" s="2"/>
      <c r="M787" s="2"/>
    </row>
    <row r="788" spans="10:13" ht="15.75" customHeight="1">
      <c r="J788" s="2"/>
      <c r="K788" s="2"/>
      <c r="M788" s="2"/>
    </row>
    <row r="789" spans="10:13" ht="15.75" customHeight="1">
      <c r="J789" s="2"/>
      <c r="K789" s="2"/>
      <c r="M789" s="2"/>
    </row>
    <row r="790" spans="10:13" ht="15.75" customHeight="1">
      <c r="J790" s="2"/>
      <c r="K790" s="2"/>
      <c r="M790" s="2"/>
    </row>
    <row r="791" spans="10:13" ht="15.75" customHeight="1">
      <c r="J791" s="2"/>
      <c r="K791" s="2"/>
      <c r="M791" s="2"/>
    </row>
    <row r="792" spans="10:13" ht="15.75" customHeight="1">
      <c r="J792" s="2"/>
      <c r="K792" s="2"/>
      <c r="M792" s="2"/>
    </row>
    <row r="793" spans="10:13" ht="15.75" customHeight="1">
      <c r="J793" s="2"/>
      <c r="K793" s="2"/>
      <c r="M793" s="2"/>
    </row>
    <row r="794" spans="10:13" ht="15.75" customHeight="1">
      <c r="J794" s="2"/>
      <c r="K794" s="2"/>
      <c r="M794" s="2"/>
    </row>
    <row r="795" spans="10:13" ht="15.75" customHeight="1">
      <c r="J795" s="2"/>
      <c r="K795" s="2"/>
      <c r="M795" s="2"/>
    </row>
    <row r="796" spans="10:13" ht="15.75" customHeight="1">
      <c r="J796" s="2"/>
      <c r="K796" s="2"/>
      <c r="M796" s="2"/>
    </row>
    <row r="797" spans="10:13" ht="15.75" customHeight="1">
      <c r="J797" s="2"/>
      <c r="K797" s="2"/>
      <c r="M797" s="2"/>
    </row>
    <row r="798" spans="10:13" ht="15.75" customHeight="1">
      <c r="J798" s="2"/>
      <c r="K798" s="2"/>
      <c r="M798" s="2"/>
    </row>
    <row r="799" spans="10:13" ht="15.75" customHeight="1">
      <c r="J799" s="2"/>
      <c r="K799" s="2"/>
      <c r="M799" s="2"/>
    </row>
    <row r="800" spans="10:13" ht="15.75" customHeight="1">
      <c r="J800" s="2"/>
      <c r="K800" s="2"/>
      <c r="M800" s="2"/>
    </row>
    <row r="801" spans="10:13" ht="15.75" customHeight="1">
      <c r="J801" s="2"/>
      <c r="K801" s="2"/>
      <c r="M801" s="2"/>
    </row>
    <row r="802" spans="10:13" ht="15.75" customHeight="1">
      <c r="J802" s="2"/>
      <c r="K802" s="2"/>
      <c r="M802" s="2"/>
    </row>
    <row r="803" spans="10:13" ht="15.75" customHeight="1">
      <c r="J803" s="2"/>
      <c r="K803" s="2"/>
      <c r="M803" s="2"/>
    </row>
    <row r="804" spans="10:13" ht="15.75" customHeight="1">
      <c r="J804" s="2"/>
      <c r="K804" s="2"/>
      <c r="M804" s="2"/>
    </row>
    <row r="805" spans="10:13" ht="15.75" customHeight="1">
      <c r="J805" s="2"/>
      <c r="K805" s="2"/>
      <c r="M805" s="2"/>
    </row>
    <row r="806" spans="10:13" ht="15.75" customHeight="1">
      <c r="J806" s="2"/>
      <c r="K806" s="2"/>
      <c r="M806" s="2"/>
    </row>
    <row r="807" spans="10:13" ht="15.75" customHeight="1">
      <c r="J807" s="2"/>
      <c r="K807" s="2"/>
      <c r="M807" s="2"/>
    </row>
    <row r="808" spans="10:13" ht="15.75" customHeight="1">
      <c r="J808" s="2"/>
      <c r="K808" s="2"/>
      <c r="M808" s="2"/>
    </row>
    <row r="809" spans="10:13" ht="15.75" customHeight="1">
      <c r="J809" s="2"/>
      <c r="K809" s="2"/>
      <c r="M809" s="2"/>
    </row>
    <row r="810" spans="10:13" ht="15.75" customHeight="1">
      <c r="J810" s="2"/>
      <c r="K810" s="2"/>
      <c r="M810" s="2"/>
    </row>
    <row r="811" spans="10:13" ht="15.75" customHeight="1">
      <c r="J811" s="2"/>
      <c r="K811" s="2"/>
      <c r="M811" s="2"/>
    </row>
    <row r="812" spans="10:13" ht="15.75" customHeight="1">
      <c r="J812" s="2"/>
      <c r="K812" s="2"/>
      <c r="M812" s="2"/>
    </row>
    <row r="813" spans="10:13" ht="15.75" customHeight="1">
      <c r="J813" s="2"/>
      <c r="K813" s="2"/>
      <c r="M813" s="2"/>
    </row>
    <row r="814" spans="10:13" ht="15.75" customHeight="1">
      <c r="J814" s="2"/>
      <c r="K814" s="2"/>
      <c r="M814" s="2"/>
    </row>
    <row r="815" spans="10:13" ht="15.75" customHeight="1">
      <c r="J815" s="2"/>
      <c r="K815" s="2"/>
      <c r="M815" s="2"/>
    </row>
    <row r="816" spans="10:13" ht="15.75" customHeight="1">
      <c r="J816" s="2"/>
      <c r="K816" s="2"/>
      <c r="M816" s="2"/>
    </row>
    <row r="817" spans="10:13" ht="15.75" customHeight="1">
      <c r="J817" s="2"/>
      <c r="K817" s="2"/>
      <c r="M817" s="2"/>
    </row>
    <row r="818" spans="10:13" ht="15.75" customHeight="1">
      <c r="J818" s="2"/>
      <c r="K818" s="2"/>
      <c r="M818" s="2"/>
    </row>
    <row r="819" spans="10:13" ht="15.75" customHeight="1">
      <c r="J819" s="2"/>
      <c r="K819" s="2"/>
      <c r="M819" s="2"/>
    </row>
    <row r="820" spans="10:13" ht="15.75" customHeight="1">
      <c r="J820" s="2"/>
      <c r="K820" s="2"/>
      <c r="M820" s="2"/>
    </row>
    <row r="821" spans="10:13" ht="15.75" customHeight="1">
      <c r="J821" s="2"/>
      <c r="K821" s="2"/>
      <c r="M821" s="2"/>
    </row>
    <row r="822" spans="10:13" ht="15.75" customHeight="1">
      <c r="J822" s="2"/>
      <c r="K822" s="2"/>
      <c r="M822" s="2"/>
    </row>
    <row r="823" spans="10:13" ht="15.75" customHeight="1">
      <c r="J823" s="2"/>
      <c r="K823" s="2"/>
      <c r="M823" s="2"/>
    </row>
    <row r="824" spans="10:13" ht="15.75" customHeight="1">
      <c r="J824" s="2"/>
      <c r="K824" s="2"/>
      <c r="M824" s="2"/>
    </row>
    <row r="825" spans="10:13" ht="15.75" customHeight="1">
      <c r="J825" s="2"/>
      <c r="K825" s="2"/>
      <c r="M825" s="2"/>
    </row>
    <row r="826" spans="10:13" ht="15.75" customHeight="1">
      <c r="J826" s="2"/>
      <c r="K826" s="2"/>
      <c r="M826" s="2"/>
    </row>
    <row r="827" spans="10:13" ht="15.75" customHeight="1">
      <c r="J827" s="2"/>
      <c r="K827" s="2"/>
      <c r="M827" s="2"/>
    </row>
    <row r="828" spans="10:13" ht="15.75" customHeight="1">
      <c r="J828" s="2"/>
      <c r="K828" s="2"/>
      <c r="M828" s="2"/>
    </row>
    <row r="829" spans="10:13" ht="15.75" customHeight="1">
      <c r="J829" s="2"/>
      <c r="K829" s="2"/>
      <c r="M829" s="2"/>
    </row>
    <row r="830" spans="10:13" ht="15.75" customHeight="1">
      <c r="J830" s="2"/>
      <c r="K830" s="2"/>
      <c r="M830" s="2"/>
    </row>
    <row r="831" spans="10:13" ht="15.75" customHeight="1">
      <c r="J831" s="2"/>
      <c r="K831" s="2"/>
      <c r="M831" s="2"/>
    </row>
    <row r="832" spans="10:13" ht="15.75" customHeight="1">
      <c r="J832" s="2"/>
      <c r="K832" s="2"/>
      <c r="M832" s="2"/>
    </row>
    <row r="833" spans="10:13" ht="15.75" customHeight="1">
      <c r="J833" s="2"/>
      <c r="K833" s="2"/>
      <c r="M833" s="2"/>
    </row>
    <row r="834" spans="10:13" ht="15.75" customHeight="1">
      <c r="J834" s="2"/>
      <c r="K834" s="2"/>
      <c r="M834" s="2"/>
    </row>
    <row r="835" spans="10:13" ht="15.75" customHeight="1">
      <c r="J835" s="2"/>
      <c r="K835" s="2"/>
      <c r="M835" s="2"/>
    </row>
    <row r="836" spans="10:13" ht="15.75" customHeight="1">
      <c r="J836" s="2"/>
      <c r="K836" s="2"/>
      <c r="M836" s="2"/>
    </row>
    <row r="837" spans="10:13" ht="15.75" customHeight="1">
      <c r="J837" s="2"/>
      <c r="K837" s="2"/>
      <c r="M837" s="2"/>
    </row>
    <row r="838" spans="10:13" ht="15.75" customHeight="1">
      <c r="J838" s="2"/>
      <c r="K838" s="2"/>
      <c r="M838" s="2"/>
    </row>
    <row r="839" spans="10:13" ht="15.75" customHeight="1">
      <c r="J839" s="2"/>
      <c r="K839" s="2"/>
      <c r="M839" s="2"/>
    </row>
    <row r="840" spans="10:13" ht="15.75" customHeight="1">
      <c r="J840" s="2"/>
      <c r="K840" s="2"/>
      <c r="M840" s="2"/>
    </row>
    <row r="841" spans="10:13" ht="15.75" customHeight="1">
      <c r="J841" s="2"/>
      <c r="K841" s="2"/>
      <c r="M841" s="2"/>
    </row>
    <row r="842" spans="10:13" ht="15.75" customHeight="1">
      <c r="J842" s="2"/>
      <c r="K842" s="2"/>
      <c r="M842" s="2"/>
    </row>
    <row r="843" spans="10:13" ht="15.75" customHeight="1">
      <c r="J843" s="2"/>
      <c r="K843" s="2"/>
      <c r="M843" s="2"/>
    </row>
    <row r="844" spans="10:13" ht="15.75" customHeight="1">
      <c r="J844" s="2"/>
      <c r="K844" s="2"/>
      <c r="M844" s="2"/>
    </row>
    <row r="845" spans="10:13" ht="15.75" customHeight="1">
      <c r="J845" s="2"/>
      <c r="K845" s="2"/>
      <c r="M845" s="2"/>
    </row>
    <row r="846" spans="10:13" ht="15.75" customHeight="1">
      <c r="J846" s="2"/>
      <c r="K846" s="2"/>
      <c r="M846" s="2"/>
    </row>
    <row r="847" spans="10:13" ht="15.75" customHeight="1">
      <c r="J847" s="2"/>
      <c r="K847" s="2"/>
      <c r="M847" s="2"/>
    </row>
    <row r="848" spans="10:13" ht="15.75" customHeight="1">
      <c r="J848" s="2"/>
      <c r="K848" s="2"/>
      <c r="M848" s="2"/>
    </row>
    <row r="849" spans="10:13" ht="15.75" customHeight="1">
      <c r="J849" s="2"/>
      <c r="K849" s="2"/>
      <c r="M849" s="2"/>
    </row>
    <row r="850" spans="10:13" ht="15.75" customHeight="1">
      <c r="J850" s="2"/>
      <c r="K850" s="2"/>
      <c r="M850" s="2"/>
    </row>
    <row r="851" spans="10:13" ht="15.75" customHeight="1">
      <c r="J851" s="2"/>
      <c r="K851" s="2"/>
      <c r="M851" s="2"/>
    </row>
    <row r="852" spans="10:13" ht="15.75" customHeight="1">
      <c r="J852" s="2"/>
      <c r="K852" s="2"/>
      <c r="M852" s="2"/>
    </row>
    <row r="853" spans="10:13" ht="15.75" customHeight="1">
      <c r="J853" s="2"/>
      <c r="K853" s="2"/>
      <c r="M853" s="2"/>
    </row>
    <row r="854" spans="10:13" ht="15.75" customHeight="1">
      <c r="J854" s="2"/>
      <c r="K854" s="2"/>
      <c r="M854" s="2"/>
    </row>
    <row r="855" spans="10:13" ht="15.75" customHeight="1">
      <c r="J855" s="2"/>
      <c r="K855" s="2"/>
      <c r="M855" s="2"/>
    </row>
    <row r="856" spans="10:13" ht="15.75" customHeight="1">
      <c r="J856" s="2"/>
      <c r="K856" s="2"/>
      <c r="M856" s="2"/>
    </row>
    <row r="857" spans="10:13" ht="15.75" customHeight="1">
      <c r="J857" s="2"/>
      <c r="K857" s="2"/>
      <c r="M857" s="2"/>
    </row>
    <row r="858" spans="10:13" ht="15.75" customHeight="1">
      <c r="J858" s="2"/>
      <c r="K858" s="2"/>
      <c r="M858" s="2"/>
    </row>
    <row r="859" spans="10:13" ht="15.75" customHeight="1">
      <c r="J859" s="2"/>
      <c r="K859" s="2"/>
      <c r="M859" s="2"/>
    </row>
    <row r="860" spans="10:13" ht="15.75" customHeight="1">
      <c r="J860" s="2"/>
      <c r="K860" s="2"/>
      <c r="M860" s="2"/>
    </row>
    <row r="861" spans="10:13" ht="15.75" customHeight="1">
      <c r="J861" s="2"/>
      <c r="K861" s="2"/>
      <c r="M861" s="2"/>
    </row>
    <row r="862" spans="10:13" ht="15.75" customHeight="1">
      <c r="J862" s="2"/>
      <c r="K862" s="2"/>
      <c r="M862" s="2"/>
    </row>
    <row r="863" spans="10:13" ht="15.75" customHeight="1">
      <c r="J863" s="2"/>
      <c r="K863" s="2"/>
      <c r="M863" s="2"/>
    </row>
    <row r="864" spans="10:13" ht="15.75" customHeight="1">
      <c r="J864" s="2"/>
      <c r="K864" s="2"/>
      <c r="M864" s="2"/>
    </row>
    <row r="865" spans="10:13" ht="15.75" customHeight="1">
      <c r="J865" s="2"/>
      <c r="K865" s="2"/>
      <c r="M865" s="2"/>
    </row>
    <row r="866" spans="10:13" ht="15.75" customHeight="1">
      <c r="J866" s="2"/>
      <c r="K866" s="2"/>
      <c r="M866" s="2"/>
    </row>
    <row r="867" spans="10:13" ht="15.75" customHeight="1">
      <c r="J867" s="2"/>
      <c r="K867" s="2"/>
      <c r="M867" s="2"/>
    </row>
    <row r="868" spans="10:13" ht="15.75" customHeight="1">
      <c r="J868" s="2"/>
      <c r="K868" s="2"/>
      <c r="M868" s="2"/>
    </row>
    <row r="869" spans="10:13" ht="15.75" customHeight="1">
      <c r="J869" s="2"/>
      <c r="K869" s="2"/>
      <c r="M869" s="2"/>
    </row>
    <row r="870" spans="10:13" ht="15.75" customHeight="1">
      <c r="J870" s="2"/>
      <c r="K870" s="2"/>
      <c r="M870" s="2"/>
    </row>
    <row r="871" spans="10:13" ht="15.75" customHeight="1">
      <c r="J871" s="2"/>
      <c r="K871" s="2"/>
      <c r="M871" s="2"/>
    </row>
    <row r="872" spans="10:13" ht="15.75" customHeight="1">
      <c r="J872" s="2"/>
      <c r="K872" s="2"/>
      <c r="M872" s="2"/>
    </row>
    <row r="873" spans="10:13" ht="15.75" customHeight="1">
      <c r="J873" s="2"/>
      <c r="K873" s="2"/>
      <c r="M873" s="2"/>
    </row>
    <row r="874" spans="10:13" ht="15.75" customHeight="1">
      <c r="J874" s="2"/>
      <c r="K874" s="2"/>
      <c r="M874" s="2"/>
    </row>
    <row r="875" spans="10:13" ht="15.75" customHeight="1">
      <c r="J875" s="2"/>
      <c r="K875" s="2"/>
      <c r="M875" s="2"/>
    </row>
    <row r="876" spans="10:13" ht="15.75" customHeight="1">
      <c r="J876" s="2"/>
      <c r="K876" s="2"/>
      <c r="M876" s="2"/>
    </row>
    <row r="877" spans="10:13" ht="15.75" customHeight="1">
      <c r="J877" s="2"/>
      <c r="K877" s="2"/>
      <c r="M877" s="2"/>
    </row>
    <row r="878" spans="10:13" ht="15.75" customHeight="1">
      <c r="J878" s="2"/>
      <c r="K878" s="2"/>
      <c r="M878" s="2"/>
    </row>
    <row r="879" spans="10:13" ht="15.75" customHeight="1">
      <c r="J879" s="2"/>
      <c r="K879" s="2"/>
      <c r="M879" s="2"/>
    </row>
    <row r="880" spans="10:13" ht="15.75" customHeight="1">
      <c r="J880" s="2"/>
      <c r="K880" s="2"/>
      <c r="M880" s="2"/>
    </row>
    <row r="881" spans="10:13" ht="15.75" customHeight="1">
      <c r="J881" s="2"/>
      <c r="K881" s="2"/>
      <c r="M881" s="2"/>
    </row>
    <row r="882" spans="10:13" ht="15.75" customHeight="1">
      <c r="J882" s="2"/>
      <c r="K882" s="2"/>
      <c r="M882" s="2"/>
    </row>
    <row r="883" spans="10:13" ht="15.75" customHeight="1">
      <c r="J883" s="2"/>
      <c r="K883" s="2"/>
      <c r="M883" s="2"/>
    </row>
    <row r="884" spans="10:13" ht="15.75" customHeight="1">
      <c r="J884" s="2"/>
      <c r="K884" s="2"/>
      <c r="M884" s="2"/>
    </row>
    <row r="885" spans="10:13" ht="15.75" customHeight="1">
      <c r="J885" s="2"/>
      <c r="K885" s="2"/>
      <c r="M885" s="2"/>
    </row>
    <row r="886" spans="10:13" ht="15.75" customHeight="1">
      <c r="J886" s="2"/>
      <c r="K886" s="2"/>
      <c r="M886" s="2"/>
    </row>
    <row r="887" spans="10:13" ht="15.75" customHeight="1">
      <c r="J887" s="2"/>
      <c r="K887" s="2"/>
      <c r="M887" s="2"/>
    </row>
    <row r="888" spans="10:13" ht="15.75" customHeight="1">
      <c r="J888" s="2"/>
      <c r="K888" s="2"/>
      <c r="M888" s="2"/>
    </row>
    <row r="889" spans="10:13" ht="15.75" customHeight="1">
      <c r="J889" s="2"/>
      <c r="K889" s="2"/>
      <c r="M889" s="2"/>
    </row>
    <row r="890" spans="10:13" ht="15.75" customHeight="1">
      <c r="J890" s="2"/>
      <c r="K890" s="2"/>
      <c r="M890" s="2"/>
    </row>
    <row r="891" spans="10:13" ht="15.75" customHeight="1">
      <c r="J891" s="2"/>
      <c r="K891" s="2"/>
      <c r="M891" s="2"/>
    </row>
    <row r="892" spans="10:13" ht="15.75" customHeight="1">
      <c r="J892" s="2"/>
      <c r="K892" s="2"/>
      <c r="M892" s="2"/>
    </row>
    <row r="893" spans="10:13" ht="15.75" customHeight="1">
      <c r="J893" s="2"/>
      <c r="K893" s="2"/>
      <c r="M893" s="2"/>
    </row>
    <row r="894" spans="10:13" ht="15.75" customHeight="1">
      <c r="J894" s="2"/>
      <c r="K894" s="2"/>
      <c r="M894" s="2"/>
    </row>
    <row r="895" spans="10:13" ht="15.75" customHeight="1">
      <c r="J895" s="2"/>
      <c r="K895" s="2"/>
      <c r="M895" s="2"/>
    </row>
    <row r="896" spans="10:13" ht="15.75" customHeight="1">
      <c r="J896" s="2"/>
      <c r="K896" s="2"/>
      <c r="M896" s="2"/>
    </row>
    <row r="897" spans="10:13" ht="15.75" customHeight="1">
      <c r="J897" s="2"/>
      <c r="K897" s="2"/>
      <c r="M897" s="2"/>
    </row>
    <row r="898" spans="10:13" ht="15.75" customHeight="1">
      <c r="J898" s="2"/>
      <c r="K898" s="2"/>
      <c r="M898" s="2"/>
    </row>
    <row r="899" spans="10:13" ht="15.75" customHeight="1">
      <c r="J899" s="2"/>
      <c r="K899" s="2"/>
      <c r="M899" s="2"/>
    </row>
    <row r="900" spans="10:13" ht="15.75" customHeight="1">
      <c r="J900" s="2"/>
      <c r="K900" s="2"/>
      <c r="M900" s="2"/>
    </row>
    <row r="901" spans="10:13" ht="15.75" customHeight="1">
      <c r="J901" s="2"/>
      <c r="K901" s="2"/>
      <c r="M901" s="2"/>
    </row>
    <row r="902" spans="10:13" ht="15.75" customHeight="1">
      <c r="J902" s="2"/>
      <c r="K902" s="2"/>
      <c r="M902" s="2"/>
    </row>
    <row r="903" spans="10:13" ht="15.75" customHeight="1">
      <c r="J903" s="2"/>
      <c r="K903" s="2"/>
      <c r="M903" s="2"/>
    </row>
    <row r="904" spans="10:13" ht="15.75" customHeight="1">
      <c r="J904" s="2"/>
      <c r="K904" s="2"/>
      <c r="M904" s="2"/>
    </row>
    <row r="905" spans="10:13" ht="15.75" customHeight="1">
      <c r="J905" s="2"/>
      <c r="K905" s="2"/>
      <c r="M905" s="2"/>
    </row>
    <row r="906" spans="10:13" ht="15.75" customHeight="1">
      <c r="J906" s="2"/>
      <c r="K906" s="2"/>
      <c r="M906" s="2"/>
    </row>
    <row r="907" spans="10:13" ht="15.75" customHeight="1">
      <c r="J907" s="2"/>
      <c r="K907" s="2"/>
      <c r="M907" s="2"/>
    </row>
    <row r="908" spans="10:13" ht="15.75" customHeight="1">
      <c r="J908" s="2"/>
      <c r="K908" s="2"/>
      <c r="M908" s="2"/>
    </row>
    <row r="909" spans="10:13" ht="15.75" customHeight="1">
      <c r="J909" s="2"/>
      <c r="K909" s="2"/>
      <c r="M909" s="2"/>
    </row>
    <row r="910" spans="10:13" ht="15.75" customHeight="1">
      <c r="J910" s="2"/>
      <c r="K910" s="2"/>
      <c r="M910" s="2"/>
    </row>
    <row r="911" spans="10:13" ht="15.75" customHeight="1">
      <c r="J911" s="2"/>
      <c r="K911" s="2"/>
      <c r="M911" s="2"/>
    </row>
    <row r="912" spans="10:13" ht="15.75" customHeight="1">
      <c r="J912" s="2"/>
      <c r="K912" s="2"/>
      <c r="M912" s="2"/>
    </row>
    <row r="913" spans="10:13" ht="15.75" customHeight="1">
      <c r="J913" s="2"/>
      <c r="K913" s="2"/>
      <c r="M913" s="2"/>
    </row>
    <row r="914" spans="10:13" ht="15.75" customHeight="1">
      <c r="J914" s="2"/>
      <c r="K914" s="2"/>
      <c r="M914" s="2"/>
    </row>
    <row r="915" spans="10:13" ht="15.75" customHeight="1">
      <c r="J915" s="2"/>
      <c r="K915" s="2"/>
      <c r="M915" s="2"/>
    </row>
    <row r="916" spans="10:13" ht="15.75" customHeight="1">
      <c r="J916" s="2"/>
      <c r="K916" s="2"/>
      <c r="M916" s="2"/>
    </row>
    <row r="917" spans="10:13" ht="15.75" customHeight="1">
      <c r="J917" s="2"/>
      <c r="K917" s="2"/>
      <c r="M917" s="2"/>
    </row>
    <row r="918" spans="10:13" ht="15.75" customHeight="1">
      <c r="J918" s="2"/>
      <c r="K918" s="2"/>
      <c r="M918" s="2"/>
    </row>
    <row r="919" spans="10:13" ht="15.75" customHeight="1">
      <c r="J919" s="2"/>
      <c r="K919" s="2"/>
      <c r="M919" s="2"/>
    </row>
    <row r="920" spans="10:13" ht="15.75" customHeight="1">
      <c r="J920" s="2"/>
      <c r="K920" s="2"/>
      <c r="M920" s="2"/>
    </row>
    <row r="921" spans="10:13" ht="15.75" customHeight="1">
      <c r="J921" s="2"/>
      <c r="K921" s="2"/>
      <c r="M921" s="2"/>
    </row>
    <row r="922" spans="10:13" ht="15.75" customHeight="1">
      <c r="J922" s="2"/>
      <c r="K922" s="2"/>
      <c r="M922" s="2"/>
    </row>
    <row r="923" spans="10:13" ht="15.75" customHeight="1">
      <c r="J923" s="2"/>
      <c r="K923" s="2"/>
      <c r="M923" s="2"/>
    </row>
    <row r="924" spans="10:13" ht="15.75" customHeight="1">
      <c r="J924" s="2"/>
      <c r="K924" s="2"/>
      <c r="M924" s="2"/>
    </row>
    <row r="925" spans="10:13" ht="15.75" customHeight="1">
      <c r="J925" s="2"/>
      <c r="K925" s="2"/>
      <c r="M925" s="2"/>
    </row>
    <row r="926" spans="10:13" ht="15.75" customHeight="1">
      <c r="J926" s="2"/>
      <c r="K926" s="2"/>
      <c r="M926" s="2"/>
    </row>
    <row r="927" spans="10:13" ht="15.75" customHeight="1">
      <c r="J927" s="2"/>
      <c r="K927" s="2"/>
      <c r="M927" s="2"/>
    </row>
    <row r="928" spans="10:13" ht="15.75" customHeight="1">
      <c r="J928" s="2"/>
      <c r="K928" s="2"/>
      <c r="M928" s="2"/>
    </row>
    <row r="929" spans="10:13" ht="15.75" customHeight="1">
      <c r="J929" s="2"/>
      <c r="K929" s="2"/>
      <c r="M929" s="2"/>
    </row>
    <row r="930" spans="10:13" ht="15.75" customHeight="1">
      <c r="J930" s="2"/>
      <c r="K930" s="2"/>
      <c r="M930" s="2"/>
    </row>
    <row r="931" spans="10:13" ht="15.75" customHeight="1">
      <c r="J931" s="2"/>
      <c r="K931" s="2"/>
      <c r="M931" s="2"/>
    </row>
    <row r="932" spans="10:13" ht="15.75" customHeight="1">
      <c r="J932" s="2"/>
      <c r="K932" s="2"/>
      <c r="M932" s="2"/>
    </row>
    <row r="933" spans="10:13" ht="15.75" customHeight="1">
      <c r="J933" s="2"/>
      <c r="K933" s="2"/>
      <c r="M933" s="2"/>
    </row>
    <row r="934" spans="10:13" ht="15.75" customHeight="1">
      <c r="J934" s="2"/>
      <c r="K934" s="2"/>
      <c r="M934" s="2"/>
    </row>
    <row r="935" spans="10:13" ht="15.75" customHeight="1">
      <c r="J935" s="2"/>
      <c r="K935" s="2"/>
      <c r="M935" s="2"/>
    </row>
    <row r="936" spans="10:13" ht="15.75" customHeight="1">
      <c r="J936" s="2"/>
      <c r="K936" s="2"/>
      <c r="M936" s="2"/>
    </row>
    <row r="937" spans="10:13" ht="15.75" customHeight="1">
      <c r="J937" s="2"/>
      <c r="K937" s="2"/>
      <c r="M937" s="2"/>
    </row>
    <row r="938" spans="10:13" ht="15.75" customHeight="1">
      <c r="J938" s="2"/>
      <c r="K938" s="2"/>
      <c r="M938" s="2"/>
    </row>
    <row r="939" spans="10:13" ht="15.75" customHeight="1">
      <c r="J939" s="2"/>
      <c r="K939" s="2"/>
      <c r="M939" s="2"/>
    </row>
    <row r="940" spans="10:13" ht="15.75" customHeight="1">
      <c r="J940" s="2"/>
      <c r="K940" s="2"/>
      <c r="M940" s="2"/>
    </row>
    <row r="941" spans="10:13" ht="15.75" customHeight="1">
      <c r="J941" s="2"/>
      <c r="K941" s="2"/>
      <c r="M941" s="2"/>
    </row>
    <row r="942" spans="10:13" ht="15.75" customHeight="1">
      <c r="J942" s="2"/>
      <c r="K942" s="2"/>
      <c r="M942" s="2"/>
    </row>
    <row r="943" spans="10:13" ht="15.75" customHeight="1">
      <c r="J943" s="2"/>
      <c r="K943" s="2"/>
      <c r="M943" s="2"/>
    </row>
    <row r="944" spans="10:13" ht="15.75" customHeight="1">
      <c r="J944" s="2"/>
      <c r="K944" s="2"/>
      <c r="M944" s="2"/>
    </row>
    <row r="945" spans="10:13" ht="15.75" customHeight="1">
      <c r="J945" s="2"/>
      <c r="K945" s="2"/>
      <c r="M945" s="2"/>
    </row>
    <row r="946" spans="10:13" ht="15.75" customHeight="1">
      <c r="J946" s="2"/>
      <c r="K946" s="2"/>
      <c r="M946" s="2"/>
    </row>
    <row r="947" spans="10:13" ht="15.75" customHeight="1">
      <c r="J947" s="2"/>
      <c r="K947" s="2"/>
      <c r="M947" s="2"/>
    </row>
    <row r="948" spans="10:13" ht="15.75" customHeight="1">
      <c r="J948" s="2"/>
      <c r="K948" s="2"/>
      <c r="M948" s="2"/>
    </row>
    <row r="949" spans="10:13" ht="15.75" customHeight="1">
      <c r="J949" s="2"/>
      <c r="K949" s="2"/>
      <c r="M949" s="2"/>
    </row>
    <row r="950" spans="10:13" ht="15.75" customHeight="1">
      <c r="J950" s="2"/>
      <c r="K950" s="2"/>
      <c r="M950" s="2"/>
    </row>
    <row r="951" spans="10:13" ht="15.75" customHeight="1">
      <c r="J951" s="2"/>
      <c r="K951" s="2"/>
      <c r="M951" s="2"/>
    </row>
    <row r="952" spans="10:13" ht="15.75" customHeight="1">
      <c r="J952" s="2"/>
      <c r="K952" s="2"/>
      <c r="M952" s="2"/>
    </row>
    <row r="953" spans="10:13" ht="15.75" customHeight="1">
      <c r="J953" s="2"/>
      <c r="K953" s="2"/>
      <c r="M953" s="2"/>
    </row>
    <row r="954" spans="10:13" ht="15.75" customHeight="1">
      <c r="J954" s="2"/>
      <c r="K954" s="2"/>
      <c r="M954" s="2"/>
    </row>
    <row r="955" spans="10:13" ht="15.75" customHeight="1">
      <c r="J955" s="2"/>
      <c r="K955" s="2"/>
      <c r="M955" s="2"/>
    </row>
    <row r="956" spans="10:13" ht="15.75" customHeight="1">
      <c r="J956" s="2"/>
      <c r="K956" s="2"/>
      <c r="M956" s="2"/>
    </row>
    <row r="957" spans="10:13" ht="15.75" customHeight="1">
      <c r="J957" s="2"/>
      <c r="K957" s="2"/>
      <c r="M957" s="2"/>
    </row>
    <row r="958" spans="10:13" ht="15.75" customHeight="1">
      <c r="J958" s="2"/>
      <c r="K958" s="2"/>
      <c r="M958" s="2"/>
    </row>
    <row r="959" spans="10:13" ht="15.75" customHeight="1">
      <c r="J959" s="2"/>
      <c r="K959" s="2"/>
      <c r="M959" s="2"/>
    </row>
    <row r="960" spans="10:13" ht="15.75" customHeight="1">
      <c r="J960" s="2"/>
      <c r="K960" s="2"/>
      <c r="M960" s="2"/>
    </row>
    <row r="961" spans="10:13" ht="15.75" customHeight="1">
      <c r="J961" s="2"/>
      <c r="K961" s="2"/>
      <c r="M961" s="2"/>
    </row>
    <row r="962" spans="10:13" ht="15.75" customHeight="1">
      <c r="J962" s="2"/>
      <c r="K962" s="2"/>
      <c r="M962" s="2"/>
    </row>
    <row r="963" spans="10:13" ht="15.75" customHeight="1">
      <c r="J963" s="2"/>
      <c r="K963" s="2"/>
      <c r="M963" s="2"/>
    </row>
    <row r="964" spans="10:13" ht="15.75" customHeight="1">
      <c r="J964" s="2"/>
      <c r="K964" s="2"/>
      <c r="M964" s="2"/>
    </row>
    <row r="965" spans="10:13" ht="15.75" customHeight="1">
      <c r="J965" s="2"/>
      <c r="K965" s="2"/>
      <c r="M965" s="2"/>
    </row>
    <row r="966" spans="10:13" ht="15.75" customHeight="1">
      <c r="J966" s="2"/>
      <c r="K966" s="2"/>
      <c r="M966" s="2"/>
    </row>
    <row r="967" spans="10:13" ht="15.75" customHeight="1">
      <c r="J967" s="2"/>
      <c r="K967" s="2"/>
      <c r="M967" s="2"/>
    </row>
    <row r="968" spans="10:13" ht="15.75" customHeight="1">
      <c r="J968" s="2"/>
      <c r="K968" s="2"/>
      <c r="M968" s="2"/>
    </row>
    <row r="969" spans="10:13" ht="15.75" customHeight="1">
      <c r="J969" s="2"/>
      <c r="K969" s="2"/>
      <c r="M969" s="2"/>
    </row>
    <row r="970" spans="10:13" ht="15.75" customHeight="1">
      <c r="J970" s="2"/>
      <c r="K970" s="2"/>
      <c r="M970" s="2"/>
    </row>
    <row r="971" spans="10:13" ht="15.75" customHeight="1">
      <c r="J971" s="2"/>
      <c r="K971" s="2"/>
      <c r="M971" s="2"/>
    </row>
    <row r="972" spans="10:13" ht="15.75" customHeight="1">
      <c r="J972" s="2"/>
      <c r="K972" s="2"/>
      <c r="M972" s="2"/>
    </row>
    <row r="973" spans="10:13" ht="15.75" customHeight="1">
      <c r="J973" s="2"/>
      <c r="K973" s="2"/>
      <c r="M973" s="2"/>
    </row>
    <row r="974" spans="10:13" ht="15.75" customHeight="1">
      <c r="J974" s="2"/>
      <c r="K974" s="2"/>
      <c r="M974" s="2"/>
    </row>
    <row r="975" spans="10:13" ht="15.75" customHeight="1">
      <c r="J975" s="2"/>
      <c r="K975" s="2"/>
      <c r="M975" s="2"/>
    </row>
    <row r="976" spans="10:13" ht="15.75" customHeight="1">
      <c r="J976" s="2"/>
      <c r="K976" s="2"/>
      <c r="M976" s="2"/>
    </row>
    <row r="977" spans="10:13" ht="15.75" customHeight="1">
      <c r="J977" s="2"/>
      <c r="K977" s="2"/>
      <c r="M977" s="2"/>
    </row>
    <row r="978" spans="10:13" ht="15.75" customHeight="1">
      <c r="J978" s="2"/>
      <c r="K978" s="2"/>
      <c r="M978" s="2"/>
    </row>
    <row r="979" spans="10:13" ht="15.75" customHeight="1">
      <c r="J979" s="2"/>
      <c r="K979" s="2"/>
      <c r="M979" s="2"/>
    </row>
    <row r="980" spans="10:13" ht="15.75" customHeight="1">
      <c r="J980" s="2"/>
      <c r="K980" s="2"/>
      <c r="M980" s="2"/>
    </row>
    <row r="981" spans="10:13" ht="15.75" customHeight="1">
      <c r="J981" s="2"/>
      <c r="K981" s="2"/>
      <c r="M981" s="2"/>
    </row>
    <row r="982" spans="10:13" ht="15.75" customHeight="1">
      <c r="J982" s="2"/>
      <c r="K982" s="2"/>
      <c r="M982" s="2"/>
    </row>
    <row r="983" spans="10:13" ht="15.75" customHeight="1">
      <c r="J983" s="2"/>
      <c r="K983" s="2"/>
      <c r="M983" s="2"/>
    </row>
    <row r="984" spans="10:13" ht="15.75" customHeight="1">
      <c r="J984" s="2"/>
      <c r="K984" s="2"/>
      <c r="M984" s="2"/>
    </row>
    <row r="985" spans="10:13" ht="15.75" customHeight="1">
      <c r="J985" s="2"/>
      <c r="K985" s="2"/>
      <c r="M985" s="2"/>
    </row>
    <row r="986" spans="10:13" ht="15.75" customHeight="1">
      <c r="J986" s="2"/>
      <c r="K986" s="2"/>
      <c r="M986" s="2"/>
    </row>
    <row r="987" spans="10:13" ht="15.75" customHeight="1">
      <c r="J987" s="2"/>
      <c r="K987" s="2"/>
      <c r="M987" s="2"/>
    </row>
    <row r="988" spans="10:13" ht="15.75" customHeight="1">
      <c r="J988" s="2"/>
      <c r="K988" s="2"/>
      <c r="M988" s="2"/>
    </row>
    <row r="989" spans="10:13" ht="15.75" customHeight="1">
      <c r="J989" s="2"/>
      <c r="K989" s="2"/>
      <c r="M989" s="2"/>
    </row>
    <row r="990" spans="10:13" ht="15.75" customHeight="1">
      <c r="J990" s="2"/>
      <c r="K990" s="2"/>
      <c r="M990" s="2"/>
    </row>
    <row r="991" spans="10:13" ht="15.75" customHeight="1">
      <c r="J991" s="2"/>
      <c r="K991" s="2"/>
      <c r="M991" s="2"/>
    </row>
    <row r="992" spans="10:13" ht="15.75" customHeight="1">
      <c r="J992" s="2"/>
      <c r="K992" s="2"/>
      <c r="M992" s="2"/>
    </row>
    <row r="993" spans="10:13" ht="15.75" customHeight="1">
      <c r="J993" s="2"/>
      <c r="K993" s="2"/>
      <c r="M993" s="2"/>
    </row>
    <row r="994" spans="10:13" ht="15.75" customHeight="1">
      <c r="J994" s="2"/>
      <c r="K994" s="2"/>
      <c r="M994" s="2"/>
    </row>
    <row r="995" spans="10:13" ht="15.75" customHeight="1">
      <c r="J995" s="2"/>
      <c r="K995" s="2"/>
      <c r="M995" s="2"/>
    </row>
    <row r="996" spans="10:13" ht="15.75" customHeight="1">
      <c r="J996" s="2"/>
      <c r="K996" s="2"/>
      <c r="M996" s="2"/>
    </row>
  </sheetData>
  <conditionalFormatting sqref="A2:A70 C2:F70 J2:J70 K2:K43 M2:N70 B9:B15 P2:Q3 S2:S3 P4:S21 P32:S34 P22:Q31 S22:S31 P39:S42 P35:Q38 S35:S38 P44:S49 P43:Q43 S43 P51:S51 P50:Q50 S50 P57:S61 P52:Q56 S52:S56 P63:S63 P62:Q62 S62 P69:S70 P64:Q68 S64:S68">
    <cfRule type="containsBlanks" dxfId="22" priority="11">
      <formula>LEN(TRIM(A2))=0</formula>
    </cfRule>
  </conditionalFormatting>
  <conditionalFormatting sqref="B4:B8 B16:B21 B32:B42 B44:B49 B51 B57:B63 B68">
    <cfRule type="containsBlanks" dxfId="21" priority="35">
      <formula>LEN(TRIM(B4))=0</formula>
    </cfRule>
  </conditionalFormatting>
  <conditionalFormatting sqref="B2:B3">
    <cfRule type="containsBlanks" dxfId="20" priority="34">
      <formula>LEN(TRIM(B2))=0</formula>
    </cfRule>
  </conditionalFormatting>
  <conditionalFormatting sqref="B22:B31">
    <cfRule type="containsBlanks" dxfId="19" priority="32">
      <formula>LEN(TRIM(B22))=0</formula>
    </cfRule>
  </conditionalFormatting>
  <conditionalFormatting sqref="B43">
    <cfRule type="containsBlanks" dxfId="18" priority="30">
      <formula>LEN(TRIM(B43))=0</formula>
    </cfRule>
  </conditionalFormatting>
  <conditionalFormatting sqref="B50">
    <cfRule type="containsBlanks" dxfId="17" priority="29">
      <formula>LEN(TRIM(B50))=0</formula>
    </cfRule>
  </conditionalFormatting>
  <conditionalFormatting sqref="B52:B56">
    <cfRule type="containsBlanks" dxfId="16" priority="28">
      <formula>LEN(TRIM(B52))=0</formula>
    </cfRule>
  </conditionalFormatting>
  <conditionalFormatting sqref="B64:B67">
    <cfRule type="containsBlanks" dxfId="15" priority="27">
      <formula>LEN(TRIM(B64))=0</formula>
    </cfRule>
  </conditionalFormatting>
  <conditionalFormatting sqref="G17:G18">
    <cfRule type="containsBlanks" dxfId="14" priority="21">
      <formula>LEN(TRIM(G17))=0</formula>
    </cfRule>
  </conditionalFormatting>
  <conditionalFormatting sqref="G17:G18">
    <cfRule type="containsBlanks" dxfId="13" priority="22">
      <formula>LEN(TRIM(G17))=0</formula>
    </cfRule>
  </conditionalFormatting>
  <conditionalFormatting sqref="K45:K48 K50:K70">
    <cfRule type="containsBlanks" dxfId="12" priority="19">
      <formula>LEN(TRIM(K45))=0</formula>
    </cfRule>
  </conditionalFormatting>
  <conditionalFormatting sqref="K44">
    <cfRule type="containsBlanks" dxfId="11" priority="18">
      <formula>LEN(TRIM(K44))=0</formula>
    </cfRule>
  </conditionalFormatting>
  <conditionalFormatting sqref="K49">
    <cfRule type="containsBlanks" dxfId="10" priority="17">
      <formula>LEN(TRIM(K49))=0</formula>
    </cfRule>
  </conditionalFormatting>
  <conditionalFormatting sqref="R2:R3">
    <cfRule type="containsBlanks" dxfId="9" priority="10">
      <formula>LEN(TRIM(R2))=0</formula>
    </cfRule>
  </conditionalFormatting>
  <conditionalFormatting sqref="R22:R31">
    <cfRule type="containsBlanks" dxfId="8" priority="9">
      <formula>LEN(TRIM(R22))=0</formula>
    </cfRule>
  </conditionalFormatting>
  <conditionalFormatting sqref="R35:R38">
    <cfRule type="containsBlanks" dxfId="7" priority="8">
      <formula>LEN(TRIM(R35))=0</formula>
    </cfRule>
  </conditionalFormatting>
  <conditionalFormatting sqref="R43">
    <cfRule type="containsBlanks" dxfId="6" priority="7">
      <formula>LEN(TRIM(R43))=0</formula>
    </cfRule>
  </conditionalFormatting>
  <conditionalFormatting sqref="R50">
    <cfRule type="containsBlanks" dxfId="5" priority="6">
      <formula>LEN(TRIM(R50))=0</formula>
    </cfRule>
  </conditionalFormatting>
  <conditionalFormatting sqref="R52:R56">
    <cfRule type="containsBlanks" dxfId="4" priority="5">
      <formula>LEN(TRIM(R52))=0</formula>
    </cfRule>
  </conditionalFormatting>
  <conditionalFormatting sqref="R62">
    <cfRule type="containsBlanks" dxfId="3" priority="4">
      <formula>LEN(TRIM(R62))=0</formula>
    </cfRule>
  </conditionalFormatting>
  <conditionalFormatting sqref="R68">
    <cfRule type="containsBlanks" dxfId="2" priority="3">
      <formula>LEN(TRIM(R68))=0</formula>
    </cfRule>
  </conditionalFormatting>
  <conditionalFormatting sqref="R64:R67">
    <cfRule type="containsBlanks" dxfId="1" priority="2">
      <formula>LEN(TRIM(R64))=0</formula>
    </cfRule>
  </conditionalFormatting>
  <conditionalFormatting sqref="B69:B70">
    <cfRule type="containsBlanks" dxfId="0" priority="1">
      <formula>LEN(TRIM(B69))=0</formula>
    </cfRule>
  </conditionalFormatting>
  <hyperlinks>
    <hyperlink ref="S2" r:id="rId1" display="https://www.colombiacompra.gov.co/tienda-virtual-del-estado-colombiano/ordenes-compra/107568" xr:uid="{36E3A40B-55F9-4201-93E3-370B9D54EC17}"/>
    <hyperlink ref="S3" r:id="rId2" display="https://www.colombiacompra.gov.co/tienda-virtual-del-estado-colombiano/ordenes-compra/107860" xr:uid="{771E87FE-2E2F-4530-BAC7-893D69E4DA76}"/>
    <hyperlink ref="S4" r:id="rId3" display="https://community.secop.gov.co/Public/Tendering/OpportunityDetail/Index?noticeUID=CO1.NTC.4314793&amp;isFromPublicArea=True&amp;isModal=False" xr:uid="{63B8AD41-7332-41C3-BA4A-B26CC65AAAC5}"/>
    <hyperlink ref="S5" r:id="rId4" display="https://community.secop.gov.co/Public/Tendering/OpportunityDetail/Index?noticeUID=CO1.NTC.4303597&amp;isFromPublicArea=True&amp;isModal=False" xr:uid="{9BBFFC37-1DA6-488A-BC48-FBC33B7383A3}"/>
    <hyperlink ref="S6" r:id="rId5" display="https://community.secop.gov.co/Public/Tendering/OpportunityDetail/Index?noticeUID=CO1.NTC.4309205&amp;isFromPublicArea=True&amp;isModal=False" xr:uid="{8E880FAC-E76B-48D7-BF82-21D7CFD95A42}"/>
    <hyperlink ref="S7" r:id="rId6" display="https://community.secop.gov.co/Public/Tendering/OpportunityDetail/Index?noticeUID=CO1.NTC.4200191&amp;isFromPublicArea=True&amp;isModal=False" xr:uid="{68E1C7C9-600F-4DD1-B099-7F1CAED76637}"/>
    <hyperlink ref="S8" r:id="rId7" display="https://community.secop.gov.co/Public/Tendering/OpportunityDetail/Index?noticeUID=CO1.NTC.4207910&amp;isFromPublicArea=True&amp;isModal=False" xr:uid="{B4083A83-5608-4408-85D8-54FD10CCFB4A}"/>
    <hyperlink ref="S16" r:id="rId8" display="https://colombiacompra.coupahost.com/requisition_headers/156329" xr:uid="{39F25675-4C49-4B50-A442-91EE30083394}"/>
    <hyperlink ref="S17" r:id="rId9" display="https://community.secop.gov.co/Public/Tendering/OpportunityDetail/Index?noticeUID=CO1.NTC.4237665&amp;isFromPublicArea=True&amp;isModal=False" xr:uid="{9D14B814-4D57-4ECC-9AD8-E307422C958A}"/>
    <hyperlink ref="S18" r:id="rId10" display="https://community.secop.gov.co/Public/Tendering/OpportunityDetail/Index?noticeUID=CO1.NTC.4242516&amp;isFromPublicArea=True&amp;isModal=False" xr:uid="{ED44F077-903A-4884-97DD-5079DE8A20B2}"/>
    <hyperlink ref="S19" r:id="rId11" display="https://community.secop.gov.co/Public/Tendering/OpportunityDetail/Index?noticeUID=CO1.NTC.4257399&amp;isFromPublicArea=True&amp;isModal=False" xr:uid="{CD759674-40A5-424E-92D0-6D8F42945249}"/>
    <hyperlink ref="S20" r:id="rId12" display="https://community.secop.gov.co/Public/Tendering/OpportunityDetail/Index?noticeUID=CO1.NTC.4311638&amp;isFromPublicArea=True&amp;isModal=False" xr:uid="{7308053E-C831-49B0-B73B-18C9B7A8E3AD}"/>
    <hyperlink ref="S21" r:id="rId13" display="https://community.secop.gov.co/Public/Tendering/OpportunityDetail/Index?noticeUID=CO1.NTC.4241586&amp;isFromPublicArea=True&amp;isModal=False" xr:uid="{3D1E98A5-A5DF-4DCF-8F5E-D4D0C0E1F0A0}"/>
    <hyperlink ref="S22" r:id="rId14" display="https://www.colombiacompra.gov.co/tienda-virtual-del-estado-colombiano/ordenes-compra/107658" xr:uid="{8A45D8B5-37A2-42AE-A913-61DBCA9BEE87}"/>
    <hyperlink ref="S23" r:id="rId15" display="https://www.colombiacompra.gov.co/tienda-virtual-del-estado-colombiano/ordenes-compra/107690" xr:uid="{DFE513D2-3AF7-40CF-A461-71E0BEED4127}"/>
    <hyperlink ref="S24" r:id="rId16" display="https://www.colombiacompra.gov.co/tienda-virtual-del-estado-colombiano/ordenes-compra/107922" xr:uid="{3F2A72BB-29ED-4BFB-A909-53365263E657}"/>
    <hyperlink ref="S25" r:id="rId17" display="https://www.colombiacompra.gov.co/tienda-virtual-del-estado-colombiano/ordenes-compra/107923" xr:uid="{845DE9D9-6947-4113-9DA4-8AA35B8B11BB}"/>
    <hyperlink ref="S30" r:id="rId18" display="https://www.colombiacompra.gov.co/tienda-virtual-del-estado-colombiano/ordenes-compra/108217" xr:uid="{DB96652E-F878-4476-8A45-6CEF8A834820}"/>
    <hyperlink ref="S31" r:id="rId19" display="https://www.colombiacompra.gov.co/tienda-virtual-del-estado-colombiano/ordenes-compra/108228" xr:uid="{DB1D7D7B-CA6C-4ED7-A5B8-7715DD232901}"/>
    <hyperlink ref="S32" r:id="rId20" display="https://community.secop.gov.co/Public/Tendering/OpportunityDetail/Index?noticeUID=CO1.NTC.4334241&amp;isFromPublicArea=True&amp;isModal=False" xr:uid="{144B7DAB-636B-4FB2-A518-6C4F331779DE}"/>
    <hyperlink ref="S33" r:id="rId21" display="https://community.secop.gov.co/Public/Tendering/OpportunityDetail/Index?noticeUID=CO1.NTC.4240415&amp;isFromPublicArea=True&amp;isModal=False" xr:uid="{C6956B82-D3F8-4BB4-A540-115D35C17373}"/>
    <hyperlink ref="S34" r:id="rId22" display="https://community.secop.gov.co/Public/Tendering/OpportunityDetail/Index?noticeUID=CO1.NTC.4289612&amp;isFromPublicArea=True&amp;isModal=False" xr:uid="{EE8E8B53-7C9E-4749-9A84-2734A6CB2563}"/>
    <hyperlink ref="S35" r:id="rId23" display="https://www.colombiacompra.gov.co/tienda-virtual-del-estado-colombiano/ordenes-compra/107249" xr:uid="{1BE1FEB6-ECF6-433A-B8C8-401175F009D0}"/>
    <hyperlink ref="S36" r:id="rId24" display="https://www.colombiacompra.gov.co/tienda-virtual-del-estado-colombiano/ordenes-compra/108023" xr:uid="{C2F59578-E85B-4F27-B110-A7189FBADD2E}"/>
    <hyperlink ref="S37" r:id="rId25" display="https://www.colombiacompra.gov.co/tienda-virtual-del-estado-colombiano/ordenes-compra/108320" xr:uid="{CC4FD669-D5C1-4980-A7D0-10DC58FB56F2}"/>
    <hyperlink ref="S38" r:id="rId26" display="https://www.colombiacompra.gov.co/tienda-virtual-del-estado-colombiano/ordenes-compra/108418" xr:uid="{B64DF5F8-AB60-4D22-839B-DABEAE24D7D0}"/>
    <hyperlink ref="S39" r:id="rId27" display="https://community.secop.gov.co/Public/Tendering/ContractNoticePhases/View?PPI=CO1.PPI.23733012&amp;isFromPublicArea=True&amp;isModal=False" xr:uid="{5BF80A42-682E-41EF-B762-79E2D2774675}"/>
    <hyperlink ref="S40" r:id="rId28" display="https://community.secop.gov.co/Public/Tendering/ContractNoticePhases/View?PPI=CO1.PPI.24081585&amp;isFromPublicArea=True&amp;isModal=False" xr:uid="{82E5747B-43AE-4DDE-BB3F-04794106BCF6}"/>
    <hyperlink ref="S41" r:id="rId29" display="https://community.secop.gov.co/Public/Tendering/ContractNoticePhases/View?PPI=CO1.PPI.24351425&amp;isFromPublicArea=True&amp;isModal=False" xr:uid="{B325EF2D-4130-4170-A358-8E714727C204}"/>
    <hyperlink ref="S42" r:id="rId30" display="https://community.secop.gov.co/Public/Tendering/ContractNoticePhases/View?PPI=CO1.PPI.24355863&amp;isFromPublicArea=True&amp;isModal=False" xr:uid="{E3EAEBF9-7BEC-48BF-8A79-945B73238807}"/>
    <hyperlink ref="S43" r:id="rId31" display="https://www.colombiacompra.gov.co/tienda-virtual-del-estado-colombiano/ordenes-compra/105680" xr:uid="{8C63FBFB-FBEA-4306-B51E-838775BBCE33}"/>
    <hyperlink ref="S44" r:id="rId32" display="https://community.secop.gov.co/Public/Tendering/OpportunityDetail/Index?noticeUID=CO1.NTC.4183765&amp;isFromPublicArea=True&amp;isModal=False" xr:uid="{4BB99416-F8F2-4F2F-A63C-23ECFB029B15}"/>
    <hyperlink ref="S45" r:id="rId33" display="https://community.secop.gov.co/Public/Tendering/OpportunityDetail/Index?noticeUID=CO1.NTC.4180159&amp;isFromPublicArea=True&amp;isModal=False" xr:uid="{7CAD7CD1-B247-49AE-83E9-04A14D4F0F4B}"/>
    <hyperlink ref="S46" r:id="rId34" display="https://community.secop.gov.co/Public/Tendering/OpportunityDetail/Index?noticeUID=CO1.NTC.4180159&amp;isFromPublicArea=True&amp;isModal=False" xr:uid="{B191E931-7295-4F28-9A6E-6D738702121B}"/>
    <hyperlink ref="S47" r:id="rId35" display="https://community.secop.gov.co/Public/Tendering/OpportunityDetail/Index?noticeUID=CO1.NTC.4180159&amp;isFromPublicArea=True&amp;isModal=False" xr:uid="{85BE31C8-FB60-43D2-83B3-AB1259BA223D}"/>
    <hyperlink ref="S48" r:id="rId36" display="https://community.secop.gov.co/Public/Tendering/OpportunityDetail/Index?noticeUID=CO1.NTC.4180159&amp;isFromPublicArea=True&amp;isModal=False" xr:uid="{6778BD5D-5BD1-4E6A-970C-1ACB4F0A506C}"/>
    <hyperlink ref="S49" r:id="rId37" display="https://community.secop.gov.co/Public/Tendering/OpportunityDetail/Index?noticeUID=CO1.NTC.4313440&amp;isFromPublicArea=True&amp;isModal=False" xr:uid="{548CCA16-F06D-4340-BF80-9697D5D8746E}"/>
    <hyperlink ref="S51" r:id="rId38" display="https://www.secop.gov.co/CO1BusinessLine/Tendering/BuyerWorkArea/Index?DocUniqueIdentifier=CO1.BDOS.4306631" xr:uid="{460A737A-C607-43C6-B97D-0089A17A454A}"/>
    <hyperlink ref="S52" r:id="rId39" display="https://www.colombiacompra.gov.co/tienda-virtual-del-estado-colombiano/ordenes-compra/107558" xr:uid="{B9ADD755-0B51-4C2E-9A13-4E43A14EAEA9}"/>
    <hyperlink ref="S53" r:id="rId40" display="https://www.colombiacompra.gov.co/tienda-virtual-del-estado-colombiano/ordenes-compra/108093" xr:uid="{CFDFF8AA-8906-4E9C-B965-43797D12426E}"/>
    <hyperlink ref="S54" r:id="rId41" display="https://www.colombiacompra.gov.co/tienda-virtual-del-estado-colombiano/ordenes-compra/108653" xr:uid="{958776B6-F74E-4075-9CC6-F577733E5748}"/>
    <hyperlink ref="S55" r:id="rId42" display="https://www.colombiacompra.gov.co/tienda-virtual-del-estado-colombiano/ordenes-compra/108654" xr:uid="{96DD8498-E331-4DA1-A25D-EF83D3E57FE0}"/>
    <hyperlink ref="S56" r:id="rId43" display="https://www.colombiacompra.gov.co/tienda-virtual-del-estado-colombiano/ordenes-compra/108673" xr:uid="{CFBB1E27-D639-4AFF-98B4-ECC49D9A8B79}"/>
    <hyperlink ref="S57" r:id="rId44" display="https://community.secop.gov.co/Public/Tendering/OpportunityDetail/Index?noticeUID=CO1.NTC.4169078&amp;isFromPublicArea=True&amp;isModal=False" xr:uid="{842CBA77-9FDF-431F-BA79-FCB04BA3003F}"/>
    <hyperlink ref="S58" r:id="rId45" display="https://community.secop.gov.co/Public/Tendering/OpportunityDetail/Index?noticeUID=CO1.NTC.4286432&amp;isFromPublicArea=True&amp;isModal=False" xr:uid="{0B4CAB1F-F087-47F8-BF4B-8F776FF3477C}"/>
    <hyperlink ref="S59" r:id="rId46" display="https://community.secop.gov.co/Public/Tendering/OpportunityDetail/Index?noticeUID=CO1.NTC.4297139&amp;isFromPublicArea=True&amp;isModal=False" xr:uid="{915C6D4A-28BA-4228-84BB-19D6FDF7ABFF}"/>
    <hyperlink ref="S60" r:id="rId47" display="https://community.secop.gov.co/Public/Tendering/OpportunityDetail/Index?noticeUID=CO1.NTC.4286432&amp;isFromPublicArea=True&amp;isModal=False" xr:uid="{E61E1941-AAFD-4549-BCAD-C37EC881B445}"/>
    <hyperlink ref="S61" r:id="rId48" display="https://community.secop.gov.co/Public/Tendering/OpportunityDetail/Index?noticeUID=CO1.NTC.4312231&amp;isFromPublicArea=True&amp;isModal=False" xr:uid="{7B98532F-3D3D-45F2-BC0F-272221C9627B}"/>
    <hyperlink ref="S62" r:id="rId49" display="https://colombiacompra.coupahost.com/order_headers/106564" xr:uid="{3BFBD0E5-342B-4A13-80F4-A110A8C11649}"/>
    <hyperlink ref="S63" r:id="rId50" display="https://community.secop.gov.co/Public/Tendering/OpportunityDetail/Index?noticeUID=CO1.NTC.2582281&amp;isFromPublicArea=True&amp;isModal=False" xr:uid="{7FF17B0E-8386-459D-A93A-90833E1B7684}"/>
    <hyperlink ref="S69" r:id="rId51" display="https://www.secop.gov.co/CO1BusinessLine/Tendering/BuyerWorkArea/Index?DocUniqueIdentifier=CO1.BDOS.4205388" xr:uid="{2F2CACFE-CF84-4695-AC62-6BFF39732CE5}"/>
    <hyperlink ref="S70" r:id="rId52" display="https://www.secop.gov.co/CO1BusinessLine/Tendering/BuyerWorkArea/Index?DocUniqueIdentifier=CO1.BDOS.4103360" xr:uid="{613BD175-6E1E-4D9E-A1EA-9BE3E7C2C0DC}"/>
    <hyperlink ref="S10" r:id="rId53" xr:uid="{0BD12E4A-127E-4D2C-A2FE-09B7487F62A3}"/>
    <hyperlink ref="S26" r:id="rId54" xr:uid="{DDC0F547-6831-4D87-B3A8-795F87AD97D7}"/>
    <hyperlink ref="S28" r:id="rId55" xr:uid="{848BFD11-3D2F-47EC-9764-EBE2700EF5DC}"/>
    <hyperlink ref="S68" r:id="rId56" xr:uid="{D9D2AE22-C742-424E-BD0C-97C5AEA5EE8E}"/>
  </hyperlinks>
  <pageMargins left="0.7" right="0.7" top="0.75" bottom="0.75" header="0" footer="0"/>
  <pageSetup orientation="landscape"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Company>Instituto Nacional Penitenciario y Carcelario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INPEC</dc:creator>
  <cp:lastModifiedBy>INPEC</cp:lastModifiedBy>
  <dcterms:created xsi:type="dcterms:W3CDTF">2023-05-03T21:20:11Z</dcterms:created>
  <dcterms:modified xsi:type="dcterms:W3CDTF">2023-05-04T19:02:22Z</dcterms:modified>
</cp:coreProperties>
</file>